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</sheets>
  <externalReferences>
    <externalReference r:id="rId4"/>
    <externalReference r:id="rId5"/>
    <externalReference r:id="rId6"/>
  </externalReferences>
  <calcPr calcId="124519"/>
</workbook>
</file>

<file path=xl/calcChain.xml><?xml version="1.0" encoding="utf-8"?>
<calcChain xmlns="http://schemas.openxmlformats.org/spreadsheetml/2006/main">
  <c r="E75" i="12"/>
  <c r="B75" s="1"/>
  <c r="E74"/>
  <c r="B74" s="1"/>
  <c r="E73"/>
  <c r="B73" s="1"/>
  <c r="E72"/>
  <c r="B72" s="1"/>
  <c r="E71"/>
  <c r="B71" s="1"/>
  <c r="E70"/>
  <c r="B70" s="1"/>
  <c r="E69"/>
  <c r="B69" s="1"/>
  <c r="E68"/>
  <c r="B68" s="1"/>
  <c r="E67"/>
  <c r="B67" s="1"/>
  <c r="E66"/>
  <c r="B66" s="1"/>
  <c r="E65"/>
  <c r="B65" s="1"/>
  <c r="E64"/>
  <c r="B64" s="1"/>
  <c r="E63"/>
  <c r="B63" s="1"/>
  <c r="E62"/>
  <c r="B62" s="1"/>
  <c r="E61"/>
  <c r="B61" s="1"/>
  <c r="B76" s="1"/>
  <c r="E59"/>
  <c r="B59"/>
  <c r="E58"/>
  <c r="B58"/>
  <c r="A58"/>
  <c r="E57"/>
  <c r="B57" s="1"/>
  <c r="A57"/>
  <c r="E56"/>
  <c r="B56" s="1"/>
  <c r="E55"/>
  <c r="B55" s="1"/>
  <c r="E54"/>
  <c r="B54" s="1"/>
  <c r="A54"/>
  <c r="E53"/>
  <c r="B53" s="1"/>
  <c r="E52"/>
  <c r="B52" s="1"/>
  <c r="E51"/>
  <c r="B51" s="1"/>
  <c r="A51"/>
  <c r="E50"/>
  <c r="B50" s="1"/>
  <c r="A50"/>
  <c r="E49"/>
  <c r="B49" s="1"/>
  <c r="A49"/>
  <c r="E48"/>
  <c r="B48" s="1"/>
  <c r="A48"/>
  <c r="E47"/>
  <c r="B47" s="1"/>
  <c r="A47"/>
  <c r="E46"/>
  <c r="B46" s="1"/>
  <c r="A46"/>
  <c r="E45"/>
  <c r="B45" s="1"/>
  <c r="E44"/>
  <c r="B44" s="1"/>
  <c r="E43"/>
  <c r="B43" s="1"/>
  <c r="E31"/>
  <c r="B31" s="1"/>
  <c r="E30"/>
  <c r="B30" s="1"/>
  <c r="E29"/>
  <c r="B29" s="1"/>
  <c r="E28"/>
  <c r="B28" s="1"/>
  <c r="E27"/>
  <c r="B27" s="1"/>
  <c r="E26"/>
  <c r="B26" s="1"/>
  <c r="E25"/>
  <c r="B25" s="1"/>
  <c r="E24"/>
  <c r="B24" s="1"/>
  <c r="E23"/>
  <c r="B23" s="1"/>
  <c r="E22"/>
  <c r="B22" s="1"/>
  <c r="E21"/>
  <c r="B21" s="1"/>
  <c r="E20"/>
  <c r="B20" s="1"/>
  <c r="B33" s="1"/>
  <c r="A19"/>
  <c r="E18"/>
  <c r="B18" s="1"/>
  <c r="E17"/>
  <c r="B17" s="1"/>
  <c r="E16"/>
  <c r="B16" s="1"/>
  <c r="E15"/>
  <c r="B15" s="1"/>
  <c r="E14"/>
  <c r="B14" s="1"/>
  <c r="E13"/>
  <c r="B13" s="1"/>
  <c r="E12"/>
  <c r="B12" s="1"/>
  <c r="E11"/>
  <c r="E19" s="1"/>
  <c r="E46" i="14"/>
  <c r="E45"/>
  <c r="E44"/>
  <c r="E43"/>
  <c r="E42"/>
  <c r="E47" s="1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A60" i="12" l="1"/>
  <c r="B11"/>
  <c r="B19" s="1"/>
  <c r="B34" s="1"/>
  <c r="B60"/>
  <c r="B77" s="1"/>
  <c r="E33"/>
  <c r="E34" s="1"/>
  <c r="E60"/>
  <c r="E76"/>
  <c r="C47" i="14"/>
  <c r="B78" i="12" l="1"/>
  <c r="B81" s="1"/>
  <c r="E77"/>
  <c r="E80" s="1"/>
  <c r="E81" s="1"/>
  <c r="H74"/>
</calcChain>
</file>

<file path=xl/sharedStrings.xml><?xml version="1.0" encoding="utf-8"?>
<sst xmlns="http://schemas.openxmlformats.org/spreadsheetml/2006/main" count="179" uniqueCount="131">
  <si>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</si>
  <si>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</si>
  <si>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</si>
  <si>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</si>
  <si>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</si>
  <si>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</si>
  <si>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</si>
  <si>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</si>
  <si>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</si>
  <si>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</si>
  <si>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</si>
  <si>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</si>
  <si>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</si>
  <si>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</si>
  <si>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</si>
  <si>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</si>
  <si>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</si>
  <si>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</si>
  <si>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</si>
  <si>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</si>
  <si>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</si>
  <si>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</si>
  <si>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</si>
  <si>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</si>
  <si>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</si>
  <si>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</si>
  <si>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</si>
  <si>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</si>
  <si>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</si>
  <si>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</si>
  <si>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</si>
  <si>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</si>
  <si>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</si>
  <si>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</si>
  <si>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</si>
  <si>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</si>
  <si>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</si>
  <si>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</si>
  <si>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</si>
  <si>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</si>
  <si>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</si>
  <si>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</si>
  <si>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</si>
  <si>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</si>
  <si>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</si>
  <si>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</si>
  <si>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</si>
  <si>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</si>
  <si>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</si>
  <si>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</si>
  <si>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</si>
  <si>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</si>
  <si>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</si>
  <si>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</si>
  <si>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</si>
  <si>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</si>
  <si>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</si>
  <si>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</si>
  <si>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</si>
  <si>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</si>
  <si>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</si>
  <si>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</si>
  <si>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</si>
  <si>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</si>
  <si>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</si>
  <si>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</si>
  <si>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</si>
  <si>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</si>
  <si>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</si>
  <si>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</si>
  <si>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</si>
  <si>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</si>
  <si>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</si>
  <si>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</si>
  <si>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</si>
  <si>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</si>
  <si>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</si>
  <si>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</si>
  <si>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</si>
  <si>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</si>
  <si>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</si>
  <si>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</si>
  <si>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</si>
  <si>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</si>
  <si>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</si>
  <si>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</si>
  <si>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</si>
  <si>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</si>
  <si>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</si>
  <si>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</si>
  <si>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</si>
  <si>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</si>
  <si>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</si>
  <si>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</si>
  <si>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</si>
  <si>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</si>
  <si>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</si>
  <si>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</si>
  <si>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</si>
  <si>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</si>
  <si>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</si>
  <si>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</si>
  <si>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</si>
  <si>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</si>
  <si>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</si>
  <si>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</si>
  <si>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</si>
  <si>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</si>
  <si>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เงินเดือน ( ฝ่ายประจำ ) ( ค่าตอบแทนและเงินเพิ่มฯ ศพด. )</t>
  </si>
  <si>
    <t xml:space="preserve">               ณ  วันที่   31  สิงหาคม   2555</t>
  </si>
  <si>
    <t xml:space="preserve">   เงินฝากธนาคาร กรุงไทย - ออมทรัพย์       เลขที่  801 - 0 - 14362 - 6 (บัญชี 2)</t>
  </si>
  <si>
    <t xml:space="preserve">   เงินฝากธนาคาร กรุงไทย - ออมทรัพย์       เลขที่  801 - 0 - 15216 - 1 (โครงการถ่ายโอนฯ)</t>
  </si>
  <si>
    <t xml:space="preserve">   เงินฝากธนาคาร กรุงไทย - ประจำ             เลขที่  801 - 2 - 37895 - 7</t>
  </si>
  <si>
    <t xml:space="preserve">   เงินฝากธนาคาร กรุงไทย - กระแสรายวัน  เลขที่  801 - 6 - 06554 - 6 (เพื่อการรับเงิน)</t>
  </si>
  <si>
    <t xml:space="preserve">   งบกลาง  (โครงการสร้างหลักประกันสร้างรายได้แก่ผู้สูงอายุ, คนพิการและ ประกันสังคม ศพด.)</t>
  </si>
  <si>
    <t xml:space="preserve">          รายจ่ายค้างจ่ายระหว่างดำเนินการ   ( หมายเหตุ  3 )</t>
  </si>
  <si>
    <t xml:space="preserve">          รายรับ                    ( หมายเหตุ 1 )</t>
  </si>
  <si>
    <t xml:space="preserve">          เงินรับฝาก              ( หมายเหตุ 2 )</t>
  </si>
  <si>
    <t xml:space="preserve">                                                             รายงานรับ - จ่าย เงินสด</t>
  </si>
  <si>
    <t xml:space="preserve">  สิงหาคม  2555</t>
  </si>
  <si>
    <r>
      <t xml:space="preserve"> </t>
    </r>
    <r>
      <rPr>
        <b/>
        <u/>
        <sz val="13"/>
        <rFont val="Angsana New"/>
        <family val="1"/>
      </rPr>
      <t>รายรับ</t>
    </r>
  </si>
  <si>
    <t>รายจ่ายค้างจ่ายระหว่างดำเนินการ  ( หมายเหตุ  3 )</t>
  </si>
  <si>
    <t xml:space="preserve"> เงินรับฝาก          ( หมายเหตุ 2 )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</si>
  <si>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</si>
  <si>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เงินเดือน   (  ฝ่ายประจำ  )    </t>
  </si>
  <si>
    <t xml:space="preserve"> งบกลาง   (500+4,000+7,364 )</t>
  </si>
  <si>
    <t xml:space="preserve"> งบกลาง (52,000+503,800+36,500+22,900)</t>
  </si>
  <si>
    <t xml:space="preserve">  ค่าครุภัณฑ์</t>
  </si>
  <si>
    <t xml:space="preserve"> รายจ่ายค้างจ่ายระหว่างดำเนินการ  ( หมายเหตุ  3 )</t>
  </si>
  <si>
    <t xml:space="preserve"> เงินรับฝาก         ( หมายเหตุ 2 )</t>
  </si>
  <si>
    <t xml:space="preserve"> เงินสะสม (9,896+36,615+14,200)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</si>
</sst>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0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3"/>
      <name val="Angsana New"/>
      <family val="1"/>
    </font>
    <font>
      <b/>
      <sz val="14"/>
      <name val="Angsana New"/>
      <family val="1"/>
    </font>
    <font>
      <sz val="14"/>
      <color indexed="10"/>
      <name val="Angsana New"/>
      <family val="1"/>
    </font>
    <font>
      <sz val="14"/>
      <color theme="1"/>
      <name val="Angsana New"/>
      <family val="1"/>
    </font>
    <font>
      <b/>
      <sz val="14"/>
      <color theme="3" tint="0.3999755851924192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b/>
      <sz val="12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39">
    <xf numFmtId="0" fontId="0" fillId="0" borderId="0" xfId="0"/>
    <xf numFmtId="189" fontId="9" fillId="0" borderId="0" xfId="12" applyNumberFormat="1" applyFont="1" applyBorder="1"/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1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10" fillId="0" borderId="0" xfId="0" applyNumberFormat="1" applyFont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/>
    <xf numFmtId="43" fontId="9" fillId="0" borderId="0" xfId="0" applyNumberFormat="1" applyFont="1"/>
    <xf numFmtId="43" fontId="9" fillId="0" borderId="0" xfId="0" applyNumberFormat="1" applyFont="1" applyBorder="1"/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0" fontId="7" fillId="0" borderId="6" xfId="0" applyFont="1" applyBorder="1"/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9" xfId="0" quotePrefix="1" applyFont="1" applyBorder="1" applyAlignment="1">
      <alignment horizontal="center" vertical="center"/>
    </xf>
    <xf numFmtId="43" fontId="7" fillId="0" borderId="5" xfId="12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11" fillId="0" borderId="0" xfId="0" applyFont="1"/>
    <xf numFmtId="49" fontId="10" fillId="0" borderId="0" xfId="0" applyNumberFormat="1" applyFont="1"/>
    <xf numFmtId="0" fontId="10" fillId="0" borderId="6" xfId="0" applyFont="1" applyBorder="1"/>
    <xf numFmtId="0" fontId="10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43" fontId="10" fillId="0" borderId="17" xfId="12" applyFont="1" applyBorder="1"/>
    <xf numFmtId="43" fontId="12" fillId="0" borderId="17" xfId="12" applyFont="1" applyBorder="1"/>
    <xf numFmtId="0" fontId="10" fillId="0" borderId="24" xfId="0" applyFont="1" applyBorder="1"/>
    <xf numFmtId="0" fontId="10" fillId="0" borderId="17" xfId="0" applyFont="1" applyBorder="1"/>
    <xf numFmtId="43" fontId="15" fillId="0" borderId="17" xfId="12" applyFont="1" applyBorder="1"/>
    <xf numFmtId="43" fontId="10" fillId="0" borderId="6" xfId="12" applyFont="1" applyBorder="1"/>
    <xf numFmtId="0" fontId="11" fillId="0" borderId="0" xfId="0" applyFont="1" applyBorder="1"/>
    <xf numFmtId="43" fontId="10" fillId="0" borderId="6" xfId="12" applyNumberFormat="1" applyFont="1" applyBorder="1"/>
    <xf numFmtId="43" fontId="10" fillId="0" borderId="23" xfId="12" applyFont="1" applyBorder="1"/>
    <xf numFmtId="43" fontId="17" fillId="0" borderId="23" xfId="12" applyFont="1" applyBorder="1"/>
    <xf numFmtId="0" fontId="10" fillId="0" borderId="22" xfId="0" applyFont="1" applyBorder="1"/>
    <xf numFmtId="189" fontId="10" fillId="0" borderId="23" xfId="12" quotePrefix="1" applyNumberFormat="1" applyFont="1" applyBorder="1" applyAlignment="1">
      <alignment horizontal="center"/>
    </xf>
    <xf numFmtId="43" fontId="10" fillId="0" borderId="23" xfId="12" applyNumberFormat="1" applyFont="1" applyBorder="1"/>
    <xf numFmtId="43" fontId="10" fillId="0" borderId="20" xfId="12" applyFont="1" applyBorder="1"/>
    <xf numFmtId="0" fontId="10" fillId="0" borderId="21" xfId="0" applyFont="1" applyBorder="1"/>
    <xf numFmtId="189" fontId="10" fillId="0" borderId="20" xfId="12" quotePrefix="1" applyNumberFormat="1" applyFont="1" applyBorder="1" applyAlignment="1">
      <alignment horizontal="center"/>
    </xf>
    <xf numFmtId="43" fontId="10" fillId="0" borderId="20" xfId="12" applyNumberFormat="1" applyFont="1" applyBorder="1"/>
    <xf numFmtId="0" fontId="10" fillId="0" borderId="20" xfId="12" quotePrefix="1" applyNumberFormat="1" applyFont="1" applyBorder="1" applyAlignment="1">
      <alignment horizontal="center"/>
    </xf>
    <xf numFmtId="43" fontId="12" fillId="0" borderId="18" xfId="12" applyFont="1" applyBorder="1"/>
    <xf numFmtId="43" fontId="11" fillId="0" borderId="13" xfId="12" applyNumberFormat="1" applyFont="1" applyBorder="1"/>
    <xf numFmtId="0" fontId="10" fillId="0" borderId="6" xfId="12" applyNumberFormat="1" applyFont="1" applyBorder="1" applyAlignment="1">
      <alignment horizontal="center"/>
    </xf>
    <xf numFmtId="43" fontId="10" fillId="0" borderId="31" xfId="12" applyFont="1" applyBorder="1"/>
    <xf numFmtId="0" fontId="10" fillId="0" borderId="27" xfId="0" applyFont="1" applyBorder="1"/>
    <xf numFmtId="0" fontId="10" fillId="0" borderId="26" xfId="12" quotePrefix="1" applyNumberFormat="1" applyFont="1" applyBorder="1" applyAlignment="1">
      <alignment horizontal="center"/>
    </xf>
    <xf numFmtId="43" fontId="10" fillId="0" borderId="32" xfId="12" applyNumberFormat="1" applyFont="1" applyBorder="1" applyAlignment="1">
      <alignment horizontal="center"/>
    </xf>
    <xf numFmtId="43" fontId="10" fillId="0" borderId="1" xfId="12" applyFont="1" applyBorder="1"/>
    <xf numFmtId="0" fontId="8" fillId="0" borderId="27" xfId="0" applyFont="1" applyBorder="1"/>
    <xf numFmtId="43" fontId="10" fillId="0" borderId="6" xfId="12" applyNumberFormat="1" applyFont="1" applyBorder="1" applyAlignment="1">
      <alignment horizontal="center"/>
    </xf>
    <xf numFmtId="43" fontId="10" fillId="0" borderId="29" xfId="12" applyNumberFormat="1" applyFont="1" applyBorder="1" applyAlignment="1">
      <alignment horizontal="center"/>
    </xf>
    <xf numFmtId="43" fontId="10" fillId="0" borderId="20" xfId="12" applyNumberFormat="1" applyFont="1" applyBorder="1" applyAlignment="1">
      <alignment horizontal="center"/>
    </xf>
    <xf numFmtId="0" fontId="10" fillId="0" borderId="20" xfId="0" quotePrefix="1" applyFont="1" applyBorder="1" applyAlignment="1">
      <alignment horizontal="center"/>
    </xf>
    <xf numFmtId="43" fontId="10" fillId="0" borderId="21" xfId="12" applyNumberFormat="1" applyFont="1" applyBorder="1" applyAlignment="1">
      <alignment horizontal="center"/>
    </xf>
    <xf numFmtId="0" fontId="10" fillId="0" borderId="20" xfId="0" applyFont="1" applyBorder="1"/>
    <xf numFmtId="0" fontId="10" fillId="0" borderId="25" xfId="0" applyFont="1" applyBorder="1"/>
    <xf numFmtId="43" fontId="10" fillId="0" borderId="29" xfId="12" applyFont="1" applyBorder="1"/>
    <xf numFmtId="0" fontId="10" fillId="0" borderId="23" xfId="0" quotePrefix="1" applyFont="1" applyBorder="1" applyAlignment="1">
      <alignment horizontal="center"/>
    </xf>
    <xf numFmtId="43" fontId="10" fillId="0" borderId="23" xfId="12" applyNumberFormat="1" applyFont="1" applyBorder="1" applyAlignment="1">
      <alignment horizontal="center"/>
    </xf>
    <xf numFmtId="43" fontId="10" fillId="0" borderId="0" xfId="12" applyFont="1" applyBorder="1"/>
    <xf numFmtId="43" fontId="10" fillId="0" borderId="7" xfId="12" applyNumberFormat="1" applyFont="1" applyBorder="1"/>
    <xf numFmtId="0" fontId="10" fillId="0" borderId="4" xfId="0" applyFont="1" applyBorder="1"/>
    <xf numFmtId="43" fontId="10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2" fillId="0" borderId="8" xfId="0" applyNumberFormat="1" applyFont="1" applyBorder="1"/>
    <xf numFmtId="0" fontId="12" fillId="0" borderId="0" xfId="0" applyFont="1" applyAlignment="1">
      <alignment horizontal="right"/>
    </xf>
    <xf numFmtId="0" fontId="10" fillId="0" borderId="19" xfId="0" applyFont="1" applyBorder="1" applyAlignment="1">
      <alignment horizontal="center"/>
    </xf>
    <xf numFmtId="43" fontId="8" fillId="0" borderId="23" xfId="12" applyFont="1" applyBorder="1"/>
    <xf numFmtId="0" fontId="8" fillId="0" borderId="22" xfId="0" applyFont="1" applyBorder="1"/>
    <xf numFmtId="0" fontId="8" fillId="0" borderId="23" xfId="12" quotePrefix="1" applyNumberFormat="1" applyFont="1" applyBorder="1" applyAlignment="1">
      <alignment horizontal="center"/>
    </xf>
    <xf numFmtId="43" fontId="8" fillId="0" borderId="23" xfId="12" applyNumberFormat="1" applyFont="1" applyBorder="1"/>
    <xf numFmtId="43" fontId="8" fillId="0" borderId="20" xfId="12" applyFont="1" applyBorder="1"/>
    <xf numFmtId="0" fontId="8" fillId="0" borderId="21" xfId="0" applyFont="1" applyBorder="1"/>
    <xf numFmtId="0" fontId="8" fillId="0" borderId="20" xfId="12" applyNumberFormat="1" applyFont="1" applyBorder="1" applyAlignment="1">
      <alignment horizontal="center"/>
    </xf>
    <xf numFmtId="43" fontId="8" fillId="0" borderId="26" xfId="12" applyFont="1" applyBorder="1"/>
    <xf numFmtId="0" fontId="8" fillId="0" borderId="6" xfId="0" applyNumberFormat="1" applyFont="1" applyBorder="1" applyAlignment="1">
      <alignment horizontal="center"/>
    </xf>
    <xf numFmtId="43" fontId="18" fillId="0" borderId="18" xfId="12" applyNumberFormat="1" applyFont="1" applyBorder="1"/>
    <xf numFmtId="43" fontId="12" fillId="0" borderId="31" xfId="12" applyFont="1" applyBorder="1"/>
    <xf numFmtId="0" fontId="8" fillId="0" borderId="20" xfId="0" applyFont="1" applyBorder="1"/>
    <xf numFmtId="43" fontId="12" fillId="0" borderId="29" xfId="12" applyFont="1" applyBorder="1"/>
    <xf numFmtId="0" fontId="8" fillId="0" borderId="20" xfId="0" applyNumberFormat="1" applyFont="1" applyBorder="1" applyAlignment="1">
      <alignment horizontal="center"/>
    </xf>
    <xf numFmtId="43" fontId="8" fillId="0" borderId="29" xfId="12" applyFont="1" applyBorder="1"/>
    <xf numFmtId="0" fontId="8" fillId="0" borderId="20" xfId="0" quotePrefix="1" applyNumberFormat="1" applyFont="1" applyBorder="1" applyAlignment="1">
      <alignment horizontal="center"/>
    </xf>
    <xf numFmtId="43" fontId="8" fillId="0" borderId="20" xfId="12" applyNumberFormat="1" applyFont="1" applyBorder="1"/>
    <xf numFmtId="0" fontId="8" fillId="0" borderId="20" xfId="12" quotePrefix="1" applyNumberFormat="1" applyFont="1" applyBorder="1" applyAlignment="1">
      <alignment horizontal="center"/>
    </xf>
    <xf numFmtId="43" fontId="8" fillId="0" borderId="21" xfId="12" applyFont="1" applyBorder="1"/>
    <xf numFmtId="0" fontId="8" fillId="0" borderId="20" xfId="0" quotePrefix="1" applyFont="1" applyBorder="1" applyAlignment="1">
      <alignment horizontal="center"/>
    </xf>
    <xf numFmtId="0" fontId="8" fillId="0" borderId="28" xfId="0" quotePrefix="1" applyFont="1" applyBorder="1" applyAlignment="1">
      <alignment horizontal="center"/>
    </xf>
    <xf numFmtId="43" fontId="18" fillId="0" borderId="0" xfId="12" applyFont="1" applyBorder="1"/>
    <xf numFmtId="43" fontId="18" fillId="0" borderId="8" xfId="12" applyNumberFormat="1" applyFont="1" applyBorder="1"/>
    <xf numFmtId="43" fontId="10" fillId="0" borderId="8" xfId="0" applyNumberFormat="1" applyFont="1" applyBorder="1"/>
    <xf numFmtId="0" fontId="12" fillId="0" borderId="2" xfId="0" applyFont="1" applyBorder="1" applyAlignment="1">
      <alignment horizontal="right"/>
    </xf>
    <xf numFmtId="4" fontId="10" fillId="0" borderId="6" xfId="0" applyNumberFormat="1" applyFont="1" applyBorder="1"/>
    <xf numFmtId="43" fontId="12" fillId="0" borderId="18" xfId="0" applyNumberFormat="1" applyFont="1" applyBorder="1"/>
    <xf numFmtId="43" fontId="11" fillId="0" borderId="0" xfId="12" applyFont="1" applyBorder="1"/>
    <xf numFmtId="43" fontId="11" fillId="0" borderId="0" xfId="0" applyNumberFormat="1" applyFont="1" applyBorder="1"/>
    <xf numFmtId="43" fontId="19" fillId="0" borderId="18" xfId="12" applyNumberFormat="1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43" fontId="13" fillId="0" borderId="2" xfId="12" applyFont="1" applyBorder="1" applyAlignment="1">
      <alignment horizontal="center" vertical="center"/>
    </xf>
    <xf numFmtId="43" fontId="13" fillId="0" borderId="1" xfId="12" applyFont="1" applyBorder="1" applyAlignment="1">
      <alignment horizontal="center" vertical="center"/>
    </xf>
    <xf numFmtId="43" fontId="14" fillId="0" borderId="2" xfId="12" applyFont="1" applyBorder="1" applyAlignment="1">
      <alignment horizontal="center" vertical="center"/>
    </xf>
    <xf numFmtId="43" fontId="14" fillId="0" borderId="1" xfId="12" applyFont="1" applyBorder="1" applyAlignment="1">
      <alignment horizontal="center" vertical="center"/>
    </xf>
    <xf numFmtId="43" fontId="12" fillId="0" borderId="30" xfId="12" applyFont="1" applyBorder="1" applyAlignment="1">
      <alignment horizontal="center" vertical="center"/>
    </xf>
    <xf numFmtId="43" fontId="12" fillId="0" borderId="13" xfId="12" applyFont="1" applyBorder="1" applyAlignment="1">
      <alignment horizontal="center" vertical="center"/>
    </xf>
    <xf numFmtId="43" fontId="12" fillId="0" borderId="12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9525</xdr:rowOff>
    </xdr:from>
    <xdr:to>
      <xdr:col>2</xdr:col>
      <xdr:colOff>0</xdr:colOff>
      <xdr:row>32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31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32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31</xdr:row>
      <xdr:rowOff>0</xdr:rowOff>
    </xdr:from>
    <xdr:to>
      <xdr:col>5</xdr:col>
      <xdr:colOff>0</xdr:colOff>
      <xdr:row>32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476875" y="76200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34;&#3619;&#3648;&#3591;&#3636;&#3609;&#3614;&#3637;&#3656;&#3629;&#3657;&#3629;&#3618;&#3588;&#3621;&#3633;&#3591;/&#3591;&#3610;&#3607;&#3604;&#3621;&#3629;&#3591;/&#3585;.&#3588;.%205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34;&#3619;&#3648;&#3591;&#3636;&#3609;&#3614;&#3637;&#3656;&#3629;&#3657;&#3629;&#3618;&#3588;&#3621;&#3633;&#3591;/&#3591;&#3610;&#3607;&#3604;&#3621;&#3629;&#3591;/&#3626;.&#3588;.%20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10;&#3585;&#3634;&#3619;&#3648;&#3591;&#3636;&#3609;&#3614;&#3637;&#3656;&#3629;&#3657;&#3629;&#3618;&#3588;&#3621;&#3633;&#3591;/&#3591;&#3610;&#3607;&#3604;&#3621;&#3629;&#3591;/&#3617;&#3636;.&#3618;.%20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8">
          <cell r="C8">
            <v>63534.229999999996</v>
          </cell>
          <cell r="D8">
            <v>0</v>
          </cell>
        </row>
        <row r="9">
          <cell r="C9">
            <v>4233.41</v>
          </cell>
          <cell r="D9">
            <v>0</v>
          </cell>
        </row>
        <row r="10">
          <cell r="C10">
            <v>12838782.390000001</v>
          </cell>
          <cell r="D10">
            <v>0</v>
          </cell>
        </row>
        <row r="11">
          <cell r="C11">
            <v>5000000</v>
          </cell>
          <cell r="D11">
            <v>0</v>
          </cell>
        </row>
        <row r="14">
          <cell r="C14">
            <v>202507.94</v>
          </cell>
          <cell r="D14">
            <v>0</v>
          </cell>
        </row>
        <row r="15">
          <cell r="C15">
            <v>1039482.28</v>
          </cell>
          <cell r="D15">
            <v>0</v>
          </cell>
        </row>
        <row r="16">
          <cell r="C16">
            <v>22525</v>
          </cell>
          <cell r="D16">
            <v>0</v>
          </cell>
        </row>
        <row r="17">
          <cell r="C17">
            <v>4883.5499999999993</v>
          </cell>
          <cell r="D17">
            <v>0</v>
          </cell>
        </row>
        <row r="18">
          <cell r="C18">
            <v>600</v>
          </cell>
          <cell r="D18">
            <v>0</v>
          </cell>
        </row>
        <row r="19">
          <cell r="C19">
            <v>15000</v>
          </cell>
          <cell r="D19">
            <v>0</v>
          </cell>
        </row>
        <row r="20">
          <cell r="C20">
            <v>52480</v>
          </cell>
          <cell r="D20">
            <v>0</v>
          </cell>
        </row>
        <row r="42">
          <cell r="E42">
            <v>27883</v>
          </cell>
          <cell r="F42">
            <v>0</v>
          </cell>
        </row>
        <row r="43">
          <cell r="E43">
            <v>4613961.09</v>
          </cell>
          <cell r="F43">
            <v>0</v>
          </cell>
        </row>
        <row r="46">
          <cell r="E46">
            <v>4607377.76</v>
          </cell>
          <cell r="F46">
            <v>0</v>
          </cell>
        </row>
      </sheetData>
      <sheetData sheetId="6">
        <row r="13">
          <cell r="B13">
            <v>145536.17000000001</v>
          </cell>
        </row>
        <row r="14">
          <cell r="B14">
            <v>187817.60000000001</v>
          </cell>
        </row>
        <row r="15">
          <cell r="B15">
            <v>138535.53</v>
          </cell>
        </row>
        <row r="17">
          <cell r="B17">
            <v>15000</v>
          </cell>
        </row>
        <row r="18">
          <cell r="B18">
            <v>0</v>
          </cell>
        </row>
        <row r="19">
          <cell r="B19">
            <v>9933318.879999999</v>
          </cell>
        </row>
        <row r="20">
          <cell r="B20">
            <v>7136395</v>
          </cell>
        </row>
        <row r="22">
          <cell r="B22">
            <v>242095.74</v>
          </cell>
        </row>
        <row r="23">
          <cell r="B23">
            <v>7434343</v>
          </cell>
        </row>
        <row r="24">
          <cell r="B24">
            <v>344</v>
          </cell>
        </row>
        <row r="25">
          <cell r="B25">
            <v>3710.91</v>
          </cell>
        </row>
        <row r="27">
          <cell r="B27">
            <v>168452</v>
          </cell>
        </row>
        <row r="28">
          <cell r="B28">
            <v>4017474</v>
          </cell>
        </row>
        <row r="29">
          <cell r="B29">
            <v>1900000</v>
          </cell>
        </row>
        <row r="30">
          <cell r="B30">
            <v>17747.669999999998</v>
          </cell>
        </row>
        <row r="32">
          <cell r="B32">
            <v>1010502.53</v>
          </cell>
        </row>
        <row r="50">
          <cell r="B50">
            <v>1413118.12</v>
          </cell>
        </row>
        <row r="51">
          <cell r="B51">
            <v>2929821.6799999997</v>
          </cell>
        </row>
        <row r="52">
          <cell r="B52">
            <v>233728</v>
          </cell>
        </row>
        <row r="53">
          <cell r="B53">
            <v>1089873.01</v>
          </cell>
        </row>
        <row r="54">
          <cell r="B54">
            <v>391561</v>
          </cell>
        </row>
        <row r="55">
          <cell r="B55">
            <v>291507.61</v>
          </cell>
        </row>
        <row r="56">
          <cell r="B56">
            <v>148220</v>
          </cell>
        </row>
        <row r="57">
          <cell r="B57">
            <v>18000</v>
          </cell>
        </row>
        <row r="58">
          <cell r="B58">
            <v>25000</v>
          </cell>
        </row>
        <row r="59">
          <cell r="B59">
            <v>5000</v>
          </cell>
        </row>
        <row r="60">
          <cell r="B60">
            <v>884876</v>
          </cell>
        </row>
        <row r="61">
          <cell r="B61">
            <v>167440</v>
          </cell>
        </row>
        <row r="62">
          <cell r="B62">
            <v>466230.1</v>
          </cell>
        </row>
        <row r="63">
          <cell r="B63">
            <v>38000</v>
          </cell>
        </row>
        <row r="64">
          <cell r="B64">
            <v>367000</v>
          </cell>
        </row>
        <row r="65">
          <cell r="B65">
            <v>1169400</v>
          </cell>
        </row>
        <row r="67">
          <cell r="B67">
            <v>6253688</v>
          </cell>
        </row>
        <row r="68">
          <cell r="B68">
            <v>208967.74</v>
          </cell>
        </row>
        <row r="69">
          <cell r="B69">
            <v>94500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183452</v>
          </cell>
        </row>
        <row r="75">
          <cell r="B75">
            <v>4069954</v>
          </cell>
        </row>
        <row r="76">
          <cell r="B76">
            <v>0</v>
          </cell>
        </row>
        <row r="77">
          <cell r="B77">
            <v>17747.669999999998</v>
          </cell>
        </row>
        <row r="78">
          <cell r="B78">
            <v>3515210</v>
          </cell>
        </row>
        <row r="79">
          <cell r="B79">
            <v>1042422.38</v>
          </cell>
        </row>
        <row r="80">
          <cell r="B80">
            <v>1896266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57">
          <cell r="G57">
            <v>0</v>
          </cell>
        </row>
        <row r="256">
          <cell r="F256">
            <v>0</v>
          </cell>
        </row>
        <row r="258">
          <cell r="G258">
            <v>0</v>
          </cell>
        </row>
        <row r="291">
          <cell r="F291">
            <v>0</v>
          </cell>
        </row>
        <row r="293">
          <cell r="G293">
            <v>0</v>
          </cell>
        </row>
        <row r="326">
          <cell r="F326">
            <v>0</v>
          </cell>
        </row>
        <row r="328">
          <cell r="G328">
            <v>0</v>
          </cell>
        </row>
        <row r="361">
          <cell r="F361">
            <v>14200</v>
          </cell>
        </row>
        <row r="396">
          <cell r="F396">
            <v>0</v>
          </cell>
        </row>
        <row r="433">
          <cell r="G433">
            <v>137500</v>
          </cell>
        </row>
        <row r="469">
          <cell r="F469">
            <v>0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7">
          <cell r="G507">
            <v>0</v>
          </cell>
        </row>
        <row r="539">
          <cell r="F539">
            <v>0</v>
          </cell>
        </row>
        <row r="540">
          <cell r="F540">
            <v>0</v>
          </cell>
        </row>
        <row r="542">
          <cell r="G542">
            <v>0</v>
          </cell>
        </row>
        <row r="575">
          <cell r="F575">
            <v>0</v>
          </cell>
        </row>
        <row r="577">
          <cell r="G577">
            <v>0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5">
          <cell r="G615">
            <v>0</v>
          </cell>
        </row>
        <row r="647">
          <cell r="F647">
            <v>0</v>
          </cell>
        </row>
        <row r="648">
          <cell r="F648">
            <v>0</v>
          </cell>
        </row>
        <row r="649">
          <cell r="F649">
            <v>0</v>
          </cell>
        </row>
        <row r="651">
          <cell r="G651">
            <v>0</v>
          </cell>
        </row>
        <row r="683">
          <cell r="F683">
            <v>0</v>
          </cell>
        </row>
        <row r="684">
          <cell r="F684">
            <v>0</v>
          </cell>
        </row>
        <row r="685">
          <cell r="F685">
            <v>0</v>
          </cell>
        </row>
        <row r="687">
          <cell r="G687">
            <v>0</v>
          </cell>
        </row>
        <row r="719">
          <cell r="F719">
            <v>0</v>
          </cell>
        </row>
        <row r="720">
          <cell r="F720">
            <v>0</v>
          </cell>
        </row>
        <row r="722">
          <cell r="G722">
            <v>0</v>
          </cell>
        </row>
      </sheetData>
      <sheetData sheetId="2">
        <row r="15">
          <cell r="F15">
            <v>0</v>
          </cell>
        </row>
        <row r="18">
          <cell r="G18">
            <v>0</v>
          </cell>
        </row>
        <row r="19">
          <cell r="G19">
            <v>18.329999999999998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35">
          <cell r="G35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3000</v>
          </cell>
        </row>
        <row r="41">
          <cell r="G41">
            <v>103180</v>
          </cell>
        </row>
      </sheetData>
      <sheetData sheetId="3">
        <row r="6">
          <cell r="F6">
            <v>0</v>
          </cell>
        </row>
        <row r="7">
          <cell r="F7">
            <v>129280</v>
          </cell>
        </row>
        <row r="8">
          <cell r="F8">
            <v>340892.29</v>
          </cell>
        </row>
        <row r="9">
          <cell r="F9">
            <v>28729</v>
          </cell>
        </row>
        <row r="10">
          <cell r="F10">
            <v>262508.75</v>
          </cell>
        </row>
        <row r="11">
          <cell r="F11">
            <v>13700</v>
          </cell>
        </row>
        <row r="12">
          <cell r="F12">
            <v>31749.65</v>
          </cell>
        </row>
        <row r="13">
          <cell r="F13">
            <v>518000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11864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615200</v>
          </cell>
        </row>
        <row r="24">
          <cell r="F24">
            <v>0</v>
          </cell>
        </row>
        <row r="25">
          <cell r="F25">
            <v>14690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131900</v>
          </cell>
        </row>
        <row r="31">
          <cell r="F31">
            <v>26856</v>
          </cell>
        </row>
        <row r="32">
          <cell r="F32">
            <v>0</v>
          </cell>
        </row>
        <row r="34">
          <cell r="F34">
            <v>0</v>
          </cell>
        </row>
        <row r="42">
          <cell r="F42">
            <v>46511</v>
          </cell>
        </row>
        <row r="55">
          <cell r="G55">
            <v>0</v>
          </cell>
        </row>
      </sheetData>
      <sheetData sheetId="4">
        <row r="8">
          <cell r="G8">
            <v>0</v>
          </cell>
        </row>
        <row r="9">
          <cell r="G9">
            <v>128.88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5000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5180.9799999999996</v>
          </cell>
        </row>
        <row r="21">
          <cell r="G21">
            <v>0</v>
          </cell>
        </row>
        <row r="22">
          <cell r="G22">
            <v>25400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734604.75</v>
          </cell>
        </row>
        <row r="28">
          <cell r="G28">
            <v>157736.42000000001</v>
          </cell>
        </row>
        <row r="29">
          <cell r="G29">
            <v>50521.93</v>
          </cell>
        </row>
        <row r="30">
          <cell r="G30">
            <v>82106.34</v>
          </cell>
        </row>
        <row r="31">
          <cell r="G31">
            <v>186306.12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21918.43</v>
          </cell>
        </row>
        <row r="35">
          <cell r="G35">
            <v>0</v>
          </cell>
        </row>
        <row r="36">
          <cell r="G36">
            <v>281853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90214.65</v>
          </cell>
        </row>
        <row r="40">
          <cell r="G40">
            <v>0</v>
          </cell>
        </row>
      </sheetData>
      <sheetData sheetId="5"/>
      <sheetData sheetId="6">
        <row r="75">
          <cell r="E75">
            <v>131900</v>
          </cell>
        </row>
        <row r="76">
          <cell r="E76">
            <v>26856</v>
          </cell>
        </row>
        <row r="81">
          <cell r="E81">
            <v>60711</v>
          </cell>
        </row>
      </sheetData>
      <sheetData sheetId="7"/>
      <sheetData sheetId="8">
        <row r="21">
          <cell r="D21">
            <v>102346.73</v>
          </cell>
          <cell r="E21">
            <v>344301.39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21">
          <cell r="C21">
            <v>0</v>
          </cell>
          <cell r="D21">
            <v>0</v>
          </cell>
        </row>
      </sheetData>
      <sheetData sheetId="6">
        <row r="13">
          <cell r="B13">
            <v>145479.92000000001</v>
          </cell>
        </row>
        <row r="16">
          <cell r="B16">
            <v>0</v>
          </cell>
        </row>
        <row r="26">
          <cell r="B26">
            <v>0</v>
          </cell>
        </row>
        <row r="31">
          <cell r="B31">
            <v>0</v>
          </cell>
        </row>
        <row r="33">
          <cell r="B33">
            <v>0</v>
          </cell>
        </row>
        <row r="49">
          <cell r="B49">
            <v>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1:AL57"/>
  <sheetViews>
    <sheetView tabSelected="1" workbookViewId="0">
      <selection activeCell="O6" sqref="O6"/>
    </sheetView>
  </sheetViews>
  <sheetFormatPr defaultColWidth="10" defaultRowHeight="21.75" customHeight="1"/>
  <cols>
    <col min="1" max="1" width="66.28515625" style="10" customWidth="1"/>
    <col min="2" max="2" width="9" style="10" customWidth="1"/>
    <col min="3" max="3" width="10.42578125" style="10" customWidth="1"/>
    <col min="4" max="4" width="6.28515625" style="11" customWidth="1"/>
    <col min="5" max="5" width="10.42578125" style="10" customWidth="1"/>
    <col min="6" max="6" width="6.28515625" style="10" customWidth="1"/>
    <col min="7" max="7" width="0.85546875" style="10" customWidth="1"/>
    <col min="8" max="8" width="1.28515625" style="9" hidden="1" customWidth="1"/>
    <col min="9" max="9" width="14.85546875" style="10" hidden="1" customWidth="1"/>
    <col min="10" max="10" width="4.28515625" style="10" hidden="1" customWidth="1"/>
    <col min="11" max="11" width="10" style="10" hidden="1" customWidth="1"/>
    <col min="12" max="12" width="1.28515625" style="10" hidden="1" customWidth="1"/>
    <col min="13" max="13" width="10" style="10" hidden="1" customWidth="1"/>
    <col min="14" max="14" width="1.28515625" style="10" customWidth="1"/>
    <col min="15" max="15" width="12" style="10" bestFit="1" customWidth="1"/>
    <col min="16" max="16384" width="10" style="10"/>
  </cols>
  <sheetData>
    <row r="1" spans="1:38" ht="21.75" customHeight="1">
      <c r="A1" s="118" t="s">
        <v>88</v>
      </c>
      <c r="B1" s="118"/>
      <c r="C1" s="118"/>
      <c r="D1" s="118"/>
      <c r="E1" s="118"/>
      <c r="F1" s="118"/>
      <c r="G1" s="1"/>
      <c r="I1" s="13"/>
      <c r="J1" s="13"/>
      <c r="K1" s="14"/>
      <c r="L1" s="14"/>
      <c r="M1" s="9"/>
      <c r="N1" s="9"/>
      <c r="O1" s="14"/>
      <c r="P1" s="14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1.75" customHeight="1">
      <c r="A2" s="119" t="s">
        <v>5</v>
      </c>
      <c r="B2" s="119"/>
      <c r="C2" s="119"/>
      <c r="D2" s="119"/>
      <c r="E2" s="119"/>
      <c r="F2" s="119"/>
      <c r="G2" s="9"/>
    </row>
    <row r="3" spans="1:38" ht="21.75" customHeight="1">
      <c r="A3" s="120" t="s">
        <v>109</v>
      </c>
      <c r="B3" s="120"/>
      <c r="C3" s="120"/>
      <c r="D3" s="120"/>
      <c r="E3" s="120"/>
      <c r="F3" s="120"/>
      <c r="G3" s="9"/>
    </row>
    <row r="4" spans="1:38" ht="21.75" customHeight="1">
      <c r="A4" s="16" t="s">
        <v>35</v>
      </c>
      <c r="B4" s="16" t="s">
        <v>36</v>
      </c>
      <c r="C4" s="121" t="s">
        <v>37</v>
      </c>
      <c r="D4" s="122"/>
      <c r="E4" s="121" t="s">
        <v>38</v>
      </c>
      <c r="F4" s="122"/>
      <c r="G4" s="9"/>
    </row>
    <row r="5" spans="1:38" ht="21.75" customHeight="1">
      <c r="A5" s="17" t="s">
        <v>25</v>
      </c>
      <c r="B5" s="18" t="s">
        <v>54</v>
      </c>
      <c r="C5" s="123">
        <f>+[1]งบทดลอง!$C$6:$D$6+'[2]มาตรฐาน 1'!F55-'[2]มาตรฐาน 1'!G65</f>
        <v>0</v>
      </c>
      <c r="D5" s="124"/>
      <c r="E5" s="125"/>
      <c r="F5" s="126"/>
    </row>
    <row r="6" spans="1:38" s="9" customFormat="1" ht="21.75" customHeight="1">
      <c r="A6" s="17" t="s">
        <v>61</v>
      </c>
      <c r="B6" s="19" t="s">
        <v>62</v>
      </c>
      <c r="C6" s="123">
        <f>+[1]งบทดลอง!$C$7:$D$7-'[2]มาตรฐาน 1'!G71</f>
        <v>0</v>
      </c>
      <c r="D6" s="124"/>
      <c r="E6" s="20"/>
      <c r="F6" s="21"/>
    </row>
    <row r="7" spans="1:38" ht="21.75" customHeight="1">
      <c r="A7" s="22" t="s">
        <v>110</v>
      </c>
      <c r="B7" s="19" t="s">
        <v>56</v>
      </c>
      <c r="C7" s="123">
        <f>+[1]งบทดลอง!$C$8:$D$8+'[2]มาตรฐาน 1'!F56-'[2]มาตรฐาน 2'!G97</f>
        <v>63534.229999999996</v>
      </c>
      <c r="D7" s="124"/>
      <c r="E7" s="23"/>
      <c r="F7" s="24"/>
      <c r="G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ht="21.75" customHeight="1">
      <c r="A8" s="22" t="s">
        <v>111</v>
      </c>
      <c r="B8" s="19" t="s">
        <v>56</v>
      </c>
      <c r="C8" s="123">
        <f>+[1]งบทดลอง!$C$9:$D$9+'[2]มาตรฐาน 1'!F57</f>
        <v>4233.41</v>
      </c>
      <c r="D8" s="124"/>
      <c r="E8" s="23"/>
      <c r="F8" s="24"/>
      <c r="G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21.75" customHeight="1">
      <c r="A9" s="22" t="s">
        <v>84</v>
      </c>
      <c r="B9" s="19" t="s">
        <v>56</v>
      </c>
      <c r="C9" s="123">
        <f>+[1]งบทดลอง!$C$10:$D$10+'[2]มาตรฐาน 1'!F58-[2]บัญชีทั่วไป!G57</f>
        <v>12838782.390000001</v>
      </c>
      <c r="D9" s="124"/>
      <c r="E9" s="23"/>
      <c r="F9" s="24"/>
      <c r="G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ht="21.75" customHeight="1">
      <c r="A10" s="22" t="s">
        <v>112</v>
      </c>
      <c r="B10" s="19" t="s">
        <v>87</v>
      </c>
      <c r="C10" s="123">
        <f>+[1]งบทดลอง!$C$11:$D$11</f>
        <v>5000000</v>
      </c>
      <c r="D10" s="124"/>
      <c r="E10" s="23"/>
      <c r="F10" s="24"/>
      <c r="G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8" ht="21.75" customHeight="1">
      <c r="A11" s="22" t="s">
        <v>113</v>
      </c>
      <c r="B11" s="19" t="s">
        <v>55</v>
      </c>
      <c r="C11" s="123">
        <f>[3]งบทดลอง!$C$12:$D$12+'[2]มาตรฐาน 1'!F59</f>
        <v>0</v>
      </c>
      <c r="D11" s="124"/>
      <c r="E11" s="23"/>
      <c r="F11" s="24"/>
      <c r="G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 ht="21.75" customHeight="1">
      <c r="A12" s="22" t="s">
        <v>85</v>
      </c>
      <c r="B12" s="19" t="s">
        <v>55</v>
      </c>
      <c r="C12" s="123">
        <f>+[3]งบทดลอง!$C$13:$D$13+'[2]มาตรฐาน 1'!F60+'[2]มาตรฐาน 2'!F92-'[2]มาตรฐาน 2'!G98+[2]บัญชีทั่วไป!F55</f>
        <v>0</v>
      </c>
      <c r="D12" s="124"/>
      <c r="E12" s="23"/>
      <c r="F12" s="24"/>
      <c r="G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</row>
    <row r="13" spans="1:38" ht="21.75" customHeight="1">
      <c r="A13" s="22" t="s">
        <v>107</v>
      </c>
      <c r="B13" s="19" t="s">
        <v>56</v>
      </c>
      <c r="C13" s="123">
        <f>+[1]งบทดลอง!$C$14:$D$14+'[2]มาตรฐาน 1'!F62-'[2]มาตรฐาน 2'!G100+'[2]มาตรฐาน 2'!F94</f>
        <v>202507.94</v>
      </c>
      <c r="D13" s="124"/>
      <c r="E13" s="23"/>
      <c r="F13" s="24"/>
      <c r="G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 ht="21.75" customHeight="1">
      <c r="A14" s="22" t="s">
        <v>86</v>
      </c>
      <c r="B14" s="19" t="s">
        <v>87</v>
      </c>
      <c r="C14" s="123">
        <f>+[1]งบทดลอง!$C$15:$D$15</f>
        <v>1039482.28</v>
      </c>
      <c r="D14" s="124"/>
      <c r="E14" s="23"/>
      <c r="F14" s="24"/>
      <c r="G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8" ht="21.75" customHeight="1">
      <c r="A15" s="17" t="s">
        <v>89</v>
      </c>
      <c r="B15" s="19" t="s">
        <v>104</v>
      </c>
      <c r="C15" s="123">
        <f>+[1]งบทดลอง!$C$16:$D$16-'[2]มาตรฐาน 1'!G66</f>
        <v>22525</v>
      </c>
      <c r="D15" s="124"/>
      <c r="E15" s="123"/>
      <c r="F15" s="124"/>
      <c r="G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ht="21.75" customHeight="1">
      <c r="A16" s="17" t="s">
        <v>90</v>
      </c>
      <c r="B16" s="19" t="s">
        <v>105</v>
      </c>
      <c r="C16" s="123">
        <f>+[1]งบทดลอง!$C$17:$D$17-'[2]มาตรฐาน 1'!G67</f>
        <v>4883.5499999999993</v>
      </c>
      <c r="D16" s="124"/>
      <c r="E16" s="123"/>
      <c r="F16" s="124"/>
      <c r="G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8" ht="21.75" customHeight="1">
      <c r="A17" s="17" t="s">
        <v>91</v>
      </c>
      <c r="B17" s="19" t="s">
        <v>106</v>
      </c>
      <c r="C17" s="123">
        <f>+[1]งบทดลอง!$C$18:$D$18-'[2]มาตรฐาน 1'!G68</f>
        <v>600</v>
      </c>
      <c r="D17" s="124"/>
      <c r="E17" s="123"/>
      <c r="F17" s="124"/>
      <c r="G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21.75" customHeight="1">
      <c r="A18" s="17" t="s">
        <v>26</v>
      </c>
      <c r="B18" s="19" t="s">
        <v>59</v>
      </c>
      <c r="C18" s="123">
        <f>+[1]งบทดลอง!$C$19:$D$19+'[2]รายงานรับ-จ่าย'!E123-'[2]รายงานรับ-จ่าย'!E75</f>
        <v>-116900</v>
      </c>
      <c r="D18" s="124"/>
      <c r="E18" s="123"/>
      <c r="F18" s="124"/>
      <c r="G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1:38" ht="21.75" customHeight="1">
      <c r="A19" s="17" t="s">
        <v>27</v>
      </c>
      <c r="B19" s="19" t="s">
        <v>60</v>
      </c>
      <c r="C19" s="123">
        <f>+[1]งบทดลอง!$C$20:$D$20+'[2]รายงานรับ-จ่าย'!E124-'[2]รายงานรับ-จ่าย'!E76</f>
        <v>25624</v>
      </c>
      <c r="D19" s="124"/>
      <c r="E19" s="123"/>
      <c r="F19" s="124"/>
      <c r="G19" s="9"/>
      <c r="I19" s="9"/>
      <c r="J19" s="9"/>
      <c r="K19" s="9"/>
    </row>
    <row r="20" spans="1:38" ht="21.75" customHeight="1">
      <c r="A20" s="17" t="s">
        <v>81</v>
      </c>
      <c r="B20" s="19">
        <v>140000</v>
      </c>
      <c r="C20" s="123">
        <f>+[3]งบทดลอง!$C$21:$D$21-'[2]มาตรฐาน 2'!G103+'[2]มาตรฐาน 1'!F63</f>
        <v>0</v>
      </c>
      <c r="D20" s="124"/>
      <c r="E20" s="23"/>
      <c r="F20" s="24"/>
      <c r="G20" s="9"/>
      <c r="I20" s="9"/>
      <c r="J20" s="9"/>
      <c r="K20" s="9"/>
    </row>
    <row r="21" spans="1:38" ht="21.75" customHeight="1">
      <c r="A21" s="17" t="s">
        <v>43</v>
      </c>
      <c r="B21" s="25">
        <v>510000</v>
      </c>
      <c r="C21" s="123">
        <f>+'[2]รายงานรับ-จ่าย'!B97</f>
        <v>0</v>
      </c>
      <c r="D21" s="124"/>
      <c r="E21" s="127"/>
      <c r="F21" s="128"/>
      <c r="G21" s="9"/>
      <c r="I21" s="9"/>
      <c r="J21" s="9"/>
      <c r="K21" s="9"/>
    </row>
    <row r="22" spans="1:38" ht="21.75" customHeight="1">
      <c r="A22" s="17" t="s">
        <v>75</v>
      </c>
      <c r="B22" s="25">
        <v>521000</v>
      </c>
      <c r="C22" s="123">
        <f>+'[2]รายงานรับ-จ่าย'!B98</f>
        <v>0</v>
      </c>
      <c r="D22" s="124"/>
      <c r="E22" s="127"/>
      <c r="F22" s="128"/>
      <c r="G22" s="9"/>
      <c r="I22" s="9"/>
      <c r="J22" s="9"/>
      <c r="K22" s="9"/>
    </row>
    <row r="23" spans="1:38" ht="21.75" customHeight="1">
      <c r="A23" s="26" t="s">
        <v>76</v>
      </c>
      <c r="B23" s="25">
        <v>522000</v>
      </c>
      <c r="C23" s="123">
        <f>+'[2]รายงานรับ-จ่าย'!B99</f>
        <v>0</v>
      </c>
      <c r="D23" s="124"/>
      <c r="E23" s="127"/>
      <c r="F23" s="128"/>
      <c r="G23" s="9"/>
      <c r="I23" s="9"/>
      <c r="J23" s="9"/>
      <c r="K23" s="9"/>
    </row>
    <row r="24" spans="1:38" ht="21.75" customHeight="1">
      <c r="A24" s="17" t="s">
        <v>28</v>
      </c>
      <c r="B24" s="25">
        <v>531000</v>
      </c>
      <c r="C24" s="123">
        <f>+'[2]รายงานรับ-จ่าย'!B100</f>
        <v>0</v>
      </c>
      <c r="D24" s="124"/>
      <c r="E24" s="127"/>
      <c r="F24" s="128"/>
      <c r="G24" s="9"/>
      <c r="I24" s="9"/>
      <c r="J24" s="9"/>
      <c r="K24" s="9"/>
    </row>
    <row r="25" spans="1:38" ht="21.75" customHeight="1">
      <c r="A25" s="17" t="s">
        <v>29</v>
      </c>
      <c r="B25" s="25">
        <v>532000</v>
      </c>
      <c r="C25" s="123">
        <f>+'[2]รายงานรับ-จ่าย'!B101</f>
        <v>0</v>
      </c>
      <c r="D25" s="124"/>
      <c r="E25" s="127"/>
      <c r="F25" s="128"/>
      <c r="G25" s="9"/>
      <c r="I25" s="9"/>
      <c r="J25" s="9"/>
      <c r="K25" s="9"/>
    </row>
    <row r="26" spans="1:38" ht="21.75" customHeight="1">
      <c r="A26" s="17" t="s">
        <v>30</v>
      </c>
      <c r="B26" s="25">
        <v>533000</v>
      </c>
      <c r="C26" s="123">
        <f>+'[2]รายงานรับ-จ่าย'!B102</f>
        <v>0</v>
      </c>
      <c r="D26" s="124"/>
      <c r="E26" s="23"/>
      <c r="F26" s="24"/>
      <c r="G26" s="9"/>
      <c r="I26" s="9"/>
      <c r="J26" s="9"/>
      <c r="K26" s="9"/>
    </row>
    <row r="27" spans="1:38" ht="21.75" customHeight="1">
      <c r="A27" s="17" t="s">
        <v>31</v>
      </c>
      <c r="B27" s="25">
        <v>534000</v>
      </c>
      <c r="C27" s="123">
        <f>+'[2]รายงานรับ-จ่าย'!B103</f>
        <v>0</v>
      </c>
      <c r="D27" s="124"/>
      <c r="E27" s="23"/>
      <c r="F27" s="24"/>
      <c r="G27" s="9"/>
      <c r="I27" s="9"/>
      <c r="J27" s="9"/>
      <c r="K27" s="9"/>
    </row>
    <row r="28" spans="1:38" ht="21.75" customHeight="1">
      <c r="A28" s="17" t="s">
        <v>33</v>
      </c>
      <c r="B28" s="25">
        <v>541000</v>
      </c>
      <c r="C28" s="123">
        <f>+'[2]รายงานรับ-จ่าย'!B104</f>
        <v>0</v>
      </c>
      <c r="D28" s="124"/>
      <c r="E28" s="23"/>
      <c r="F28" s="24"/>
      <c r="G28" s="9"/>
      <c r="I28" s="9"/>
      <c r="J28" s="9"/>
      <c r="K28" s="9"/>
    </row>
    <row r="29" spans="1:38" ht="21.75" customHeight="1">
      <c r="A29" s="17" t="s">
        <v>34</v>
      </c>
      <c r="B29" s="25">
        <v>542000</v>
      </c>
      <c r="C29" s="123">
        <f>+'[2]รายงานรับ-จ่าย'!B105</f>
        <v>0</v>
      </c>
      <c r="D29" s="124"/>
      <c r="E29" s="123"/>
      <c r="F29" s="124"/>
      <c r="G29" s="9"/>
      <c r="I29" s="9"/>
      <c r="J29" s="9"/>
      <c r="K29" s="9"/>
    </row>
    <row r="30" spans="1:38" ht="21.75" customHeight="1">
      <c r="A30" s="17" t="s">
        <v>103</v>
      </c>
      <c r="B30" s="25">
        <v>550000</v>
      </c>
      <c r="C30" s="123">
        <f>+'[2]รายงานรับ-จ่าย'!B106</f>
        <v>0</v>
      </c>
      <c r="D30" s="124"/>
      <c r="E30" s="123"/>
      <c r="F30" s="124"/>
      <c r="G30" s="9"/>
      <c r="I30" s="9"/>
      <c r="J30" s="9"/>
      <c r="K30" s="9"/>
    </row>
    <row r="31" spans="1:38" ht="21.75" customHeight="1">
      <c r="A31" s="17" t="s">
        <v>32</v>
      </c>
      <c r="B31" s="25">
        <v>560000</v>
      </c>
      <c r="C31" s="123">
        <f>+'[2]รายงานรับ-จ่าย'!B107</f>
        <v>0</v>
      </c>
      <c r="D31" s="124"/>
      <c r="E31" s="23"/>
      <c r="F31" s="24"/>
      <c r="G31" s="9"/>
      <c r="I31" s="9"/>
      <c r="J31" s="9"/>
      <c r="K31" s="9"/>
    </row>
    <row r="32" spans="1:38" ht="21.75" customHeight="1">
      <c r="A32" s="17" t="s">
        <v>43</v>
      </c>
      <c r="B32" s="25">
        <v>6510000</v>
      </c>
      <c r="C32" s="123">
        <f>+'[2]รายงานรับ-จ่าย'!B108</f>
        <v>0</v>
      </c>
      <c r="D32" s="124"/>
      <c r="E32" s="123"/>
      <c r="F32" s="124"/>
      <c r="G32" s="9"/>
      <c r="I32" s="9"/>
      <c r="J32" s="9"/>
      <c r="K32" s="9"/>
    </row>
    <row r="33" spans="1:11" ht="21.75" customHeight="1">
      <c r="A33" s="17" t="s">
        <v>29</v>
      </c>
      <c r="B33" s="25">
        <v>6532000</v>
      </c>
      <c r="C33" s="123">
        <f>+'[2]รายงานรับ-จ่าย'!B109</f>
        <v>0</v>
      </c>
      <c r="D33" s="124"/>
      <c r="E33" s="23"/>
      <c r="F33" s="24"/>
      <c r="G33" s="9"/>
      <c r="I33" s="9"/>
      <c r="J33" s="9"/>
      <c r="K33" s="9"/>
    </row>
    <row r="34" spans="1:11" ht="21.75" customHeight="1">
      <c r="A34" s="17" t="s">
        <v>30</v>
      </c>
      <c r="B34" s="25">
        <v>6533000</v>
      </c>
      <c r="C34" s="123">
        <f>+'[2]รายงานรับ-จ่าย'!B110</f>
        <v>0</v>
      </c>
      <c r="D34" s="124"/>
      <c r="E34" s="23"/>
      <c r="F34" s="24"/>
      <c r="G34" s="9"/>
      <c r="I34" s="9"/>
      <c r="J34" s="9"/>
      <c r="K34" s="9"/>
    </row>
    <row r="35" spans="1:11" ht="21.75" customHeight="1">
      <c r="A35" s="17" t="s">
        <v>33</v>
      </c>
      <c r="B35" s="25">
        <v>6541000</v>
      </c>
      <c r="C35" s="123">
        <f>+'[2]รายงานรับ-จ่าย'!B111</f>
        <v>0</v>
      </c>
      <c r="D35" s="124"/>
      <c r="E35" s="23"/>
      <c r="F35" s="24"/>
      <c r="G35" s="9"/>
      <c r="I35" s="9"/>
      <c r="J35" s="9"/>
      <c r="K35" s="9"/>
    </row>
    <row r="36" spans="1:11" ht="21.75" customHeight="1">
      <c r="A36" s="17" t="s">
        <v>34</v>
      </c>
      <c r="B36" s="25">
        <v>6420000</v>
      </c>
      <c r="C36" s="123">
        <f>+'[2]รายงานรับ-จ่าย'!B112</f>
        <v>0</v>
      </c>
      <c r="D36" s="124"/>
      <c r="E36" s="123"/>
      <c r="F36" s="124"/>
      <c r="G36" s="9"/>
      <c r="I36" s="9"/>
      <c r="J36" s="9"/>
      <c r="K36" s="9"/>
    </row>
    <row r="37" spans="1:11" ht="21.75" customHeight="1">
      <c r="A37" s="17" t="s">
        <v>32</v>
      </c>
      <c r="B37" s="25">
        <v>6560000</v>
      </c>
      <c r="C37" s="123">
        <f>+'[2]รายงานรับ-จ่าย'!B113</f>
        <v>0</v>
      </c>
      <c r="D37" s="124"/>
      <c r="E37" s="23"/>
      <c r="F37" s="24"/>
      <c r="G37" s="9"/>
      <c r="I37" s="9"/>
      <c r="J37" s="9"/>
      <c r="K37" s="9"/>
    </row>
    <row r="38" spans="1:11" ht="21.75" customHeight="1">
      <c r="A38" s="27" t="s">
        <v>114</v>
      </c>
      <c r="B38" s="25">
        <v>7510000</v>
      </c>
      <c r="C38" s="123">
        <f>+'[2]รายงานรับ-จ่าย'!B115</f>
        <v>0</v>
      </c>
      <c r="D38" s="124"/>
      <c r="E38" s="23"/>
      <c r="F38" s="24"/>
      <c r="G38" s="9"/>
      <c r="I38" s="9"/>
      <c r="J38" s="9"/>
      <c r="K38" s="9"/>
    </row>
    <row r="39" spans="1:11" ht="21.75" customHeight="1">
      <c r="A39" s="26" t="s">
        <v>108</v>
      </c>
      <c r="B39" s="25">
        <v>7522000</v>
      </c>
      <c r="C39" s="123">
        <f>+'[2]รายงานรับ-จ่าย'!B116</f>
        <v>0</v>
      </c>
      <c r="D39" s="124"/>
      <c r="E39" s="127"/>
      <c r="F39" s="128"/>
      <c r="G39" s="9"/>
      <c r="I39" s="9"/>
      <c r="J39" s="9"/>
      <c r="K39" s="9"/>
    </row>
    <row r="40" spans="1:11" ht="18" customHeight="1">
      <c r="A40" s="17" t="s">
        <v>29</v>
      </c>
      <c r="B40" s="25">
        <v>7532000</v>
      </c>
      <c r="C40" s="123">
        <f>+'[2]รายงานรับ-จ่าย'!B117</f>
        <v>0</v>
      </c>
      <c r="D40" s="124"/>
      <c r="E40" s="23"/>
      <c r="F40" s="24"/>
      <c r="G40" s="9"/>
      <c r="I40" s="9"/>
      <c r="J40" s="9"/>
      <c r="K40" s="9"/>
    </row>
    <row r="41" spans="1:11" ht="21.75" customHeight="1">
      <c r="A41" s="17" t="s">
        <v>33</v>
      </c>
      <c r="B41" s="25">
        <v>7541000</v>
      </c>
      <c r="C41" s="123">
        <f>+'[2]มาตรฐาน 2'!F73</f>
        <v>0</v>
      </c>
      <c r="D41" s="124"/>
      <c r="E41" s="23"/>
      <c r="F41" s="24"/>
      <c r="G41" s="9"/>
      <c r="I41" s="9"/>
      <c r="J41" s="9"/>
      <c r="K41" s="9"/>
    </row>
    <row r="42" spans="1:11" ht="21.75" customHeight="1">
      <c r="A42" s="22" t="s">
        <v>115</v>
      </c>
      <c r="B42" s="19">
        <v>210401</v>
      </c>
      <c r="C42" s="23"/>
      <c r="D42" s="24"/>
      <c r="E42" s="129">
        <f>+[1]งบทดลอง!$E$42:$F$42-'[2]รายงานรับ-จ่าย'!E127</f>
        <v>27883</v>
      </c>
      <c r="F42" s="130"/>
      <c r="G42" s="9"/>
      <c r="I42" s="9"/>
      <c r="J42" s="9"/>
      <c r="K42" s="9"/>
    </row>
    <row r="43" spans="1:11" ht="21.75" customHeight="1">
      <c r="A43" s="17" t="s">
        <v>2</v>
      </c>
      <c r="B43" s="18" t="s">
        <v>57</v>
      </c>
      <c r="C43" s="123"/>
      <c r="D43" s="124"/>
      <c r="E43" s="129">
        <f>+[1]งบทดลอง!$E$43:$F$43-'[2]รายงานรับ-จ่าย'!E129+'[2]รายงานรับ-จ่าย'!E81</f>
        <v>4674672.09</v>
      </c>
      <c r="F43" s="130"/>
      <c r="G43" s="9"/>
      <c r="I43" s="9"/>
      <c r="J43" s="9"/>
      <c r="K43" s="9"/>
    </row>
    <row r="44" spans="1:11" ht="18" customHeight="1">
      <c r="A44" s="17" t="s">
        <v>116</v>
      </c>
      <c r="B44" s="18" t="s">
        <v>58</v>
      </c>
      <c r="C44" s="123"/>
      <c r="D44" s="124"/>
      <c r="E44" s="129">
        <f>+'[2]หมายเหตุ(1)'!H138</f>
        <v>0</v>
      </c>
      <c r="F44" s="130"/>
      <c r="G44" s="9"/>
      <c r="I44" s="9"/>
      <c r="J44" s="9"/>
      <c r="K44" s="9"/>
    </row>
    <row r="45" spans="1:11" ht="21.75" customHeight="1">
      <c r="A45" s="17" t="s">
        <v>117</v>
      </c>
      <c r="B45" s="18" t="s">
        <v>63</v>
      </c>
      <c r="C45" s="123"/>
      <c r="D45" s="124"/>
      <c r="E45" s="129">
        <f>+'[2]หมายเหตุ 2'!F69</f>
        <v>0</v>
      </c>
      <c r="F45" s="130"/>
      <c r="G45" s="9"/>
      <c r="I45" s="9"/>
      <c r="J45" s="9"/>
      <c r="K45" s="9"/>
    </row>
    <row r="46" spans="1:11" ht="21.75" customHeight="1">
      <c r="A46" s="28" t="s">
        <v>65</v>
      </c>
      <c r="B46" s="29" t="s">
        <v>64</v>
      </c>
      <c r="C46" s="30"/>
      <c r="D46" s="24"/>
      <c r="E46" s="129">
        <f>+[1]งบทดลอง!$E$46:$F$46</f>
        <v>4607377.76</v>
      </c>
      <c r="F46" s="130"/>
      <c r="G46" s="9"/>
      <c r="I46" s="9"/>
      <c r="J46" s="9"/>
      <c r="K46" s="9"/>
    </row>
    <row r="47" spans="1:11" ht="21.75" customHeight="1" thickBot="1">
      <c r="A47" s="31"/>
      <c r="B47" s="32"/>
      <c r="C47" s="131">
        <f>SUM(C5:C46)</f>
        <v>19085272.800000004</v>
      </c>
      <c r="D47" s="132"/>
      <c r="E47" s="133">
        <f>SUM(E5:E46)</f>
        <v>9309932.8499999996</v>
      </c>
      <c r="F47" s="134"/>
      <c r="G47" s="9"/>
      <c r="I47" s="9"/>
      <c r="J47" s="9"/>
      <c r="K47" s="9"/>
    </row>
    <row r="48" spans="1:11" ht="21.75" customHeight="1" thickTop="1">
      <c r="B48" s="9"/>
      <c r="C48" s="9"/>
      <c r="D48" s="15"/>
      <c r="E48" s="9"/>
      <c r="F48" s="9"/>
      <c r="G48" s="9"/>
      <c r="I48" s="9"/>
      <c r="J48" s="9"/>
      <c r="K48" s="9"/>
    </row>
    <row r="49" spans="2:11" ht="21.75" customHeight="1">
      <c r="B49" s="9"/>
      <c r="C49" s="9"/>
      <c r="D49" s="15"/>
      <c r="E49" s="9"/>
      <c r="F49" s="9"/>
      <c r="G49" s="9"/>
      <c r="I49" s="9"/>
      <c r="J49" s="9"/>
      <c r="K49" s="9"/>
    </row>
    <row r="50" spans="2:11" ht="21.75" customHeight="1">
      <c r="B50" s="9"/>
      <c r="C50" s="9"/>
      <c r="D50" s="15"/>
      <c r="E50" s="9"/>
      <c r="F50" s="9"/>
      <c r="G50" s="9"/>
      <c r="I50" s="9"/>
      <c r="J50" s="9"/>
      <c r="K50" s="9"/>
    </row>
    <row r="51" spans="2:11" ht="21.75" customHeight="1">
      <c r="B51" s="9"/>
      <c r="C51" s="9"/>
      <c r="D51" s="15"/>
      <c r="E51" s="9"/>
      <c r="F51" s="9"/>
      <c r="G51" s="9"/>
      <c r="I51" s="9"/>
      <c r="J51" s="9"/>
      <c r="K51" s="9"/>
    </row>
    <row r="52" spans="2:11" ht="21.75" customHeight="1">
      <c r="B52" s="9"/>
      <c r="C52" s="9"/>
      <c r="D52" s="15"/>
      <c r="E52" s="9"/>
      <c r="F52" s="9"/>
      <c r="G52" s="9"/>
      <c r="I52" s="9"/>
      <c r="J52" s="9"/>
      <c r="K52" s="9"/>
    </row>
    <row r="53" spans="2:11" ht="21.75" customHeight="1">
      <c r="B53" s="9"/>
      <c r="C53" s="9"/>
      <c r="D53" s="15"/>
      <c r="E53" s="9"/>
      <c r="F53" s="9"/>
      <c r="G53" s="9"/>
      <c r="I53" s="9"/>
      <c r="J53" s="9"/>
      <c r="K53" s="9"/>
    </row>
    <row r="54" spans="2:11" ht="21.75" customHeight="1">
      <c r="B54" s="9"/>
      <c r="C54" s="9"/>
      <c r="D54" s="15"/>
      <c r="E54" s="9"/>
      <c r="F54" s="9"/>
      <c r="G54" s="9"/>
      <c r="I54" s="9"/>
      <c r="J54" s="9"/>
      <c r="K54" s="9"/>
    </row>
    <row r="55" spans="2:11" ht="21.75" customHeight="1">
      <c r="B55" s="9"/>
      <c r="C55" s="9"/>
      <c r="D55" s="15"/>
      <c r="E55" s="9"/>
      <c r="F55" s="9"/>
      <c r="G55" s="9"/>
      <c r="I55" s="9"/>
      <c r="J55" s="9"/>
      <c r="K55" s="9"/>
    </row>
    <row r="56" spans="2:11" ht="21.75" customHeight="1">
      <c r="B56" s="9"/>
      <c r="C56" s="9"/>
      <c r="D56" s="15"/>
      <c r="E56" s="9"/>
      <c r="F56" s="9"/>
      <c r="G56" s="9"/>
      <c r="I56" s="9"/>
      <c r="J56" s="9"/>
      <c r="K56" s="9"/>
    </row>
    <row r="57" spans="2:11" ht="21.75" customHeight="1">
      <c r="B57" s="9"/>
      <c r="C57" s="9"/>
      <c r="D57" s="15"/>
      <c r="E57" s="9"/>
      <c r="F57" s="9"/>
      <c r="G57" s="9"/>
      <c r="I57" s="9"/>
      <c r="J57" s="9"/>
      <c r="K57" s="9"/>
    </row>
  </sheetData>
  <mergeCells count="68">
    <mergeCell ref="C45:D45"/>
    <mergeCell ref="E45:F45"/>
    <mergeCell ref="E46:F46"/>
    <mergeCell ref="C47:D47"/>
    <mergeCell ref="E47:F47"/>
    <mergeCell ref="C41:D41"/>
    <mergeCell ref="E42:F42"/>
    <mergeCell ref="C43:D43"/>
    <mergeCell ref="E43:F43"/>
    <mergeCell ref="C44:D44"/>
    <mergeCell ref="E44:F44"/>
    <mergeCell ref="C37:D37"/>
    <mergeCell ref="C38:D38"/>
    <mergeCell ref="C39:D39"/>
    <mergeCell ref="E39:F39"/>
    <mergeCell ref="C40:D40"/>
    <mergeCell ref="C33:D33"/>
    <mergeCell ref="C34:D34"/>
    <mergeCell ref="C35:D35"/>
    <mergeCell ref="C36:D36"/>
    <mergeCell ref="E36:F36"/>
    <mergeCell ref="C30:D30"/>
    <mergeCell ref="E30:F30"/>
    <mergeCell ref="C31:D31"/>
    <mergeCell ref="C32:D32"/>
    <mergeCell ref="E32:F32"/>
    <mergeCell ref="C26:D26"/>
    <mergeCell ref="C27:D27"/>
    <mergeCell ref="C28:D28"/>
    <mergeCell ref="C29:D29"/>
    <mergeCell ref="E29:F29"/>
    <mergeCell ref="C23:D23"/>
    <mergeCell ref="E23:F23"/>
    <mergeCell ref="C24:D24"/>
    <mergeCell ref="E24:F24"/>
    <mergeCell ref="C25:D25"/>
    <mergeCell ref="E25:F25"/>
    <mergeCell ref="C20:D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C15:D15"/>
    <mergeCell ref="E15:F15"/>
    <mergeCell ref="C16:D16"/>
    <mergeCell ref="E16:F16"/>
    <mergeCell ref="C9:D9"/>
    <mergeCell ref="C10:D10"/>
    <mergeCell ref="C11:D11"/>
    <mergeCell ref="C12:D12"/>
    <mergeCell ref="C13:D13"/>
    <mergeCell ref="C5:D5"/>
    <mergeCell ref="E5:F5"/>
    <mergeCell ref="C6:D6"/>
    <mergeCell ref="C8:D8"/>
    <mergeCell ref="C7:D7"/>
    <mergeCell ref="A1:F1"/>
    <mergeCell ref="A2:F2"/>
    <mergeCell ref="A3:F3"/>
    <mergeCell ref="C4:D4"/>
    <mergeCell ref="E4:F4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1:J129"/>
  <sheetViews>
    <sheetView zoomScaleSheetLayoutView="100" workbookViewId="0">
      <selection activeCell="C57" sqref="C57"/>
    </sheetView>
  </sheetViews>
  <sheetFormatPr defaultRowHeight="21.75" customHeight="1"/>
  <cols>
    <col min="1" max="2" width="14.7109375" style="3" customWidth="1"/>
    <col min="3" max="3" width="47.42578125" style="3" customWidth="1"/>
    <col min="4" max="4" width="9.140625" style="3"/>
    <col min="5" max="5" width="14.7109375" style="3" customWidth="1"/>
    <col min="6" max="6" width="1.42578125" style="4" customWidth="1"/>
    <col min="7" max="7" width="0.140625" style="4" customWidth="1"/>
    <col min="8" max="8" width="12.140625" style="4" hidden="1" customWidth="1"/>
    <col min="9" max="10" width="1.140625" style="3" hidden="1" customWidth="1"/>
    <col min="11" max="11" width="0.42578125" style="3" customWidth="1"/>
    <col min="12" max="16384" width="9.140625" style="3"/>
  </cols>
  <sheetData>
    <row r="1" spans="1:8" ht="21.75" customHeight="1">
      <c r="A1" s="137" t="s">
        <v>83</v>
      </c>
      <c r="B1" s="137"/>
      <c r="C1" s="137"/>
      <c r="D1" s="137"/>
      <c r="E1" s="137"/>
    </row>
    <row r="2" spans="1:8" ht="21.75" customHeight="1">
      <c r="A2" s="5"/>
      <c r="B2" s="5"/>
      <c r="C2" s="5"/>
      <c r="D2" s="3" t="s">
        <v>92</v>
      </c>
      <c r="E2" s="5"/>
    </row>
    <row r="3" spans="1:8" ht="20.25" customHeight="1">
      <c r="A3" s="33" t="s">
        <v>118</v>
      </c>
    </row>
    <row r="4" spans="1:8" ht="21.75" customHeight="1">
      <c r="C4" s="138" t="s">
        <v>0</v>
      </c>
      <c r="D4" s="138"/>
      <c r="E4" s="34" t="s">
        <v>119</v>
      </c>
    </row>
    <row r="5" spans="1:8" ht="21.75" customHeight="1" thickBot="1">
      <c r="A5" s="6"/>
      <c r="B5" s="6"/>
      <c r="C5" s="6"/>
      <c r="D5" s="6"/>
      <c r="E5" s="6"/>
    </row>
    <row r="6" spans="1:8" s="10" customFormat="1" ht="21.75" customHeight="1" thickTop="1">
      <c r="A6" s="135" t="s">
        <v>6</v>
      </c>
      <c r="B6" s="136"/>
      <c r="C6" s="35"/>
      <c r="D6" s="35"/>
      <c r="E6" s="36" t="s">
        <v>7</v>
      </c>
      <c r="F6" s="4"/>
      <c r="G6" s="9"/>
      <c r="H6" s="9"/>
    </row>
    <row r="7" spans="1:8" s="10" customFormat="1" ht="21.75" customHeight="1">
      <c r="A7" s="37" t="s">
        <v>8</v>
      </c>
      <c r="B7" s="37" t="s">
        <v>9</v>
      </c>
      <c r="C7" s="38" t="s">
        <v>35</v>
      </c>
      <c r="D7" s="38" t="s">
        <v>36</v>
      </c>
      <c r="E7" s="38" t="s">
        <v>9</v>
      </c>
      <c r="F7" s="4"/>
      <c r="G7" s="9"/>
      <c r="H7" s="9"/>
    </row>
    <row r="8" spans="1:8" s="10" customFormat="1" ht="21.75" customHeight="1" thickBot="1">
      <c r="A8" s="39" t="s">
        <v>4</v>
      </c>
      <c r="B8" s="39" t="s">
        <v>4</v>
      </c>
      <c r="C8" s="40"/>
      <c r="D8" s="40"/>
      <c r="E8" s="39" t="s">
        <v>4</v>
      </c>
      <c r="F8" s="4"/>
      <c r="G8" s="9"/>
      <c r="H8" s="9"/>
    </row>
    <row r="9" spans="1:8" s="10" customFormat="1" ht="21.75" customHeight="1" thickTop="1">
      <c r="A9" s="41"/>
      <c r="B9" s="42">
        <v>13718250.529999999</v>
      </c>
      <c r="C9" s="43" t="s">
        <v>10</v>
      </c>
      <c r="D9" s="44"/>
      <c r="E9" s="45">
        <v>19148540.25</v>
      </c>
      <c r="F9" s="4"/>
      <c r="G9" s="9"/>
      <c r="H9" s="9"/>
    </row>
    <row r="10" spans="1:8" s="10" customFormat="1" ht="21.75" customHeight="1">
      <c r="A10" s="46"/>
      <c r="B10" s="46"/>
      <c r="C10" s="47" t="s">
        <v>120</v>
      </c>
      <c r="D10" s="35"/>
      <c r="E10" s="48"/>
      <c r="F10" s="4"/>
      <c r="G10" s="9"/>
      <c r="H10" s="9"/>
    </row>
    <row r="11" spans="1:8" s="10" customFormat="1" ht="21.75" customHeight="1">
      <c r="A11" s="49">
        <v>170000</v>
      </c>
      <c r="B11" s="50">
        <f>+'[1]รายงานรับ-จ่าย'!$B$13+E11</f>
        <v>145665.05000000002</v>
      </c>
      <c r="C11" s="51" t="s">
        <v>11</v>
      </c>
      <c r="D11" s="52" t="s">
        <v>45</v>
      </c>
      <c r="E11" s="53">
        <f>+'[2]มาตรฐาน 3'!G8+'[2]มาตรฐาน 3'!G9+'[2]มาตรฐาน 3'!G10</f>
        <v>128.88</v>
      </c>
      <c r="F11" s="4"/>
      <c r="G11" s="9"/>
      <c r="H11" s="9"/>
    </row>
    <row r="12" spans="1:8" s="10" customFormat="1" ht="21.75" customHeight="1">
      <c r="A12" s="54">
        <v>397000</v>
      </c>
      <c r="B12" s="50">
        <f>+'[1]รายงานรับ-จ่าย'!$B$14+E12</f>
        <v>192817.6</v>
      </c>
      <c r="C12" s="55" t="s">
        <v>12</v>
      </c>
      <c r="D12" s="56" t="s">
        <v>46</v>
      </c>
      <c r="E12" s="57">
        <f>+'[2]มาตรฐาน 3'!G11+'[2]มาตรฐาน 3'!G12+'[2]มาตรฐาน 3'!G13+'[2]มาตรฐาน 3'!G14+'[2]มาตรฐาน 3'!G15+'[2]มาตรฐาน 3'!G16+'[2]มาตรฐาน 3'!G17+'[2]มาตรฐาน 3'!G18+'[2]มาตรฐาน 3'!G19</f>
        <v>5000</v>
      </c>
      <c r="F12" s="4"/>
      <c r="G12" s="9"/>
      <c r="H12" s="9"/>
    </row>
    <row r="13" spans="1:8" s="10" customFormat="1" ht="21.75" customHeight="1">
      <c r="A13" s="54">
        <v>36000</v>
      </c>
      <c r="B13" s="50">
        <f>+'[1]รายงานรับ-จ่าย'!$B$15+E13</f>
        <v>143716.51</v>
      </c>
      <c r="C13" s="55" t="s">
        <v>13</v>
      </c>
      <c r="D13" s="56" t="s">
        <v>47</v>
      </c>
      <c r="E13" s="57">
        <f>+'[2]มาตรฐาน 3'!G20</f>
        <v>5180.9799999999996</v>
      </c>
      <c r="F13" s="4"/>
      <c r="G13" s="9"/>
      <c r="H13" s="9"/>
    </row>
    <row r="14" spans="1:8" s="10" customFormat="1" ht="21.75" customHeight="1">
      <c r="A14" s="54">
        <v>0</v>
      </c>
      <c r="B14" s="50">
        <f>+'[3]รายงานรับ-จ่าย'!$B$16+E14</f>
        <v>0</v>
      </c>
      <c r="C14" s="55" t="s">
        <v>14</v>
      </c>
      <c r="D14" s="56" t="s">
        <v>48</v>
      </c>
      <c r="E14" s="57">
        <f>+'[2]มาตรฐาน 3'!G21</f>
        <v>0</v>
      </c>
      <c r="F14" s="4"/>
      <c r="G14" s="9"/>
      <c r="H14" s="9"/>
    </row>
    <row r="15" spans="1:8" s="10" customFormat="1" ht="21.75" customHeight="1">
      <c r="A15" s="54">
        <v>170000</v>
      </c>
      <c r="B15" s="50">
        <f>+'[1]รายงานรับ-จ่าย'!$B$17+E15</f>
        <v>40400</v>
      </c>
      <c r="C15" s="55" t="s">
        <v>15</v>
      </c>
      <c r="D15" s="56" t="s">
        <v>49</v>
      </c>
      <c r="E15" s="57">
        <f>+'[2]มาตรฐาน 3'!G22+'[2]มาตรฐาน 3'!G23+'[2]มาตรฐาน 3'!G24</f>
        <v>25400</v>
      </c>
      <c r="F15" s="4"/>
      <c r="G15" s="9"/>
      <c r="H15" s="9"/>
    </row>
    <row r="16" spans="1:8" s="10" customFormat="1" ht="21.75" customHeight="1">
      <c r="A16" s="54">
        <v>0</v>
      </c>
      <c r="B16" s="50">
        <f>+'[1]รายงานรับ-จ่าย'!$B$18+E16</f>
        <v>0</v>
      </c>
      <c r="C16" s="55" t="s">
        <v>16</v>
      </c>
      <c r="D16" s="56" t="s">
        <v>50</v>
      </c>
      <c r="E16" s="57">
        <f>+'[2]มาตรฐาน 3'!G25</f>
        <v>0</v>
      </c>
      <c r="F16" s="4"/>
      <c r="G16" s="9"/>
      <c r="H16" s="9"/>
    </row>
    <row r="17" spans="1:8" s="10" customFormat="1" ht="21.75" customHeight="1">
      <c r="A17" s="54">
        <v>10280000</v>
      </c>
      <c r="B17" s="50">
        <f>+'[1]รายงานรับ-จ่าย'!$B$19+E17</f>
        <v>11448365.869999999</v>
      </c>
      <c r="C17" s="55" t="s">
        <v>17</v>
      </c>
      <c r="D17" s="58" t="s">
        <v>51</v>
      </c>
      <c r="E17" s="57">
        <f>+'[2]มาตรฐาน 3'!G26+'[2]มาตรฐาน 3'!G27+'[2]มาตรฐาน 3'!G28+'[2]มาตรฐาน 3'!G29+'[2]มาตรฐาน 3'!G30+'[2]มาตรฐาน 3'!G31+'[2]มาตรฐาน 3'!G32+'[2]มาตรฐาน 3'!G33+'[2]มาตรฐาน 3'!G34+'[2]มาตรฐาน 3'!G35+'[2]มาตรฐาน 3'!G36+'[2]มาตรฐาน 3'!G37</f>
        <v>1515046.99</v>
      </c>
      <c r="F17" s="4"/>
      <c r="G17" s="9"/>
      <c r="H17" s="9"/>
    </row>
    <row r="18" spans="1:8" s="10" customFormat="1" ht="21.75" customHeight="1">
      <c r="A18" s="54">
        <v>7000000</v>
      </c>
      <c r="B18" s="50">
        <f>+'[1]รายงานรับ-จ่าย'!$B$20+E18</f>
        <v>7136395</v>
      </c>
      <c r="C18" s="55" t="s">
        <v>44</v>
      </c>
      <c r="D18" s="58" t="s">
        <v>52</v>
      </c>
      <c r="E18" s="57">
        <f>+'[2]มาตรฐาน 3'!G38</f>
        <v>0</v>
      </c>
      <c r="F18" s="4"/>
      <c r="G18" s="9"/>
      <c r="H18" s="9"/>
    </row>
    <row r="19" spans="1:8" s="10" customFormat="1" ht="21.75" customHeight="1" thickBot="1">
      <c r="A19" s="59">
        <f>SUM(A9:A18)</f>
        <v>18053000</v>
      </c>
      <c r="B19" s="60">
        <f>SUM(B11:B18)</f>
        <v>19107360.030000001</v>
      </c>
      <c r="C19" s="4"/>
      <c r="D19" s="61"/>
      <c r="E19" s="60">
        <f>SUM(E11:E18)</f>
        <v>1550756.85</v>
      </c>
      <c r="F19" s="4"/>
      <c r="G19" s="9"/>
      <c r="H19" s="13"/>
    </row>
    <row r="20" spans="1:8" s="10" customFormat="1" ht="21.75" customHeight="1" thickTop="1">
      <c r="A20" s="62"/>
      <c r="B20" s="50">
        <f>+'[1]รายงานรับ-จ่าย'!$B$22+E20</f>
        <v>332310.39</v>
      </c>
      <c r="C20" s="63" t="s">
        <v>93</v>
      </c>
      <c r="D20" s="64" t="s">
        <v>82</v>
      </c>
      <c r="E20" s="65">
        <f>+'[2]มาตรฐาน 3'!G39</f>
        <v>90214.65</v>
      </c>
      <c r="F20" s="4"/>
      <c r="G20" s="9"/>
      <c r="H20" s="9"/>
    </row>
    <row r="21" spans="1:8" s="10" customFormat="1" ht="21.75" customHeight="1">
      <c r="A21" s="66"/>
      <c r="B21" s="50">
        <f>+'[1]รายงานรับ-จ่าย'!$B$23+E21</f>
        <v>7434343</v>
      </c>
      <c r="C21" s="67" t="s">
        <v>94</v>
      </c>
      <c r="D21" s="64" t="s">
        <v>53</v>
      </c>
      <c r="E21" s="68">
        <f>+'[2]มาตรฐาน 3'!G40</f>
        <v>0</v>
      </c>
      <c r="F21" s="4"/>
      <c r="G21" s="9"/>
      <c r="H21" s="9"/>
    </row>
    <row r="22" spans="1:8" s="10" customFormat="1" ht="21.75" customHeight="1">
      <c r="A22" s="69"/>
      <c r="B22" s="50">
        <f>+'[1]รายงานรับ-จ่าย'!$B$24+E22</f>
        <v>344</v>
      </c>
      <c r="C22" s="55" t="s">
        <v>95</v>
      </c>
      <c r="D22" s="56" t="s">
        <v>104</v>
      </c>
      <c r="E22" s="70">
        <f>+'[2]มาตรฐาน 1'!G18</f>
        <v>0</v>
      </c>
      <c r="F22" s="4"/>
      <c r="G22" s="9"/>
      <c r="H22" s="9"/>
    </row>
    <row r="23" spans="1:8" s="10" customFormat="1" ht="21.75" customHeight="1">
      <c r="A23" s="69"/>
      <c r="B23" s="50">
        <f>+'[1]รายงานรับ-จ่าย'!$B$25+E23</f>
        <v>3729.24</v>
      </c>
      <c r="C23" s="55" t="s">
        <v>96</v>
      </c>
      <c r="D23" s="56" t="s">
        <v>105</v>
      </c>
      <c r="E23" s="70">
        <f>+'[2]มาตรฐาน 1'!G19</f>
        <v>18.329999999999998</v>
      </c>
      <c r="F23" s="4"/>
      <c r="G23" s="9"/>
      <c r="H23" s="9"/>
    </row>
    <row r="24" spans="1:8" s="10" customFormat="1" ht="21.75" customHeight="1">
      <c r="A24" s="69"/>
      <c r="B24" s="50">
        <f>+'[3]รายงานรับ-จ่าย'!$B$26+E24</f>
        <v>0</v>
      </c>
      <c r="C24" s="55" t="s">
        <v>97</v>
      </c>
      <c r="D24" s="56" t="s">
        <v>106</v>
      </c>
      <c r="E24" s="70">
        <f>+'[2]มาตรฐาน 1'!G20</f>
        <v>0</v>
      </c>
      <c r="F24" s="4"/>
      <c r="G24" s="9"/>
      <c r="H24" s="9"/>
    </row>
    <row r="25" spans="1:8" s="10" customFormat="1" ht="21.75" customHeight="1">
      <c r="A25" s="69"/>
      <c r="B25" s="50">
        <f>+'[1]รายงานรับ-จ่าย'!$B$27+E25</f>
        <v>168452</v>
      </c>
      <c r="C25" s="55" t="s">
        <v>68</v>
      </c>
      <c r="D25" s="56" t="s">
        <v>59</v>
      </c>
      <c r="E25" s="70">
        <f>+'[2]มาตรฐาน 1'!G21+[2]บัญชีทั่วไป!G258+[2]บัญชีทั่วไป!G293+[2]บัญชีทั่วไป!G328</f>
        <v>0</v>
      </c>
      <c r="F25" s="4"/>
      <c r="G25" s="9"/>
      <c r="H25" s="9"/>
    </row>
    <row r="26" spans="1:8" s="10" customFormat="1" ht="21.75" customHeight="1">
      <c r="A26" s="69"/>
      <c r="B26" s="50">
        <f>+'[1]รายงานรับ-จ่าย'!$B$28+E26</f>
        <v>4017474</v>
      </c>
      <c r="C26" s="55" t="s">
        <v>67</v>
      </c>
      <c r="D26" s="71" t="s">
        <v>60</v>
      </c>
      <c r="E26" s="70">
        <f>+'[2]มาตรฐาน 1'!G22+[2]บัญชีทั่วไป!G507+[2]บัญชีทั่วไป!G542+[2]บัญชีทั่วไป!G577+[2]บัญชีทั่วไป!G615+[2]บัญชีทั่วไป!G651+[2]บัญชีทั่วไป!G687+[2]บัญชีทั่วไป!G722</f>
        <v>0</v>
      </c>
      <c r="F26" s="4"/>
      <c r="G26" s="9"/>
      <c r="H26" s="9"/>
    </row>
    <row r="27" spans="1:8" s="10" customFormat="1" ht="21.75" customHeight="1">
      <c r="A27" s="72"/>
      <c r="B27" s="50">
        <f>+'[1]รายงานรับ-จ่าย'!$B$29+E27</f>
        <v>1900000</v>
      </c>
      <c r="C27" s="73" t="s">
        <v>77</v>
      </c>
      <c r="D27" s="71">
        <v>120100</v>
      </c>
      <c r="E27" s="70">
        <f>+'[2]มาตรฐาน 1'!G23</f>
        <v>0</v>
      </c>
      <c r="F27" s="4"/>
      <c r="G27" s="9"/>
      <c r="H27" s="9"/>
    </row>
    <row r="28" spans="1:8" s="10" customFormat="1" ht="21.75" customHeight="1">
      <c r="A28" s="72"/>
      <c r="B28" s="50">
        <f>+'[1]รายงานรับ-จ่าย'!$B$30+E28</f>
        <v>17747.669999999998</v>
      </c>
      <c r="C28" s="74" t="s">
        <v>71</v>
      </c>
      <c r="D28" s="71">
        <v>140000</v>
      </c>
      <c r="E28" s="70">
        <f>+'[2]มาตรฐาน 2'!G55</f>
        <v>0</v>
      </c>
      <c r="F28" s="4"/>
      <c r="G28" s="9"/>
      <c r="H28" s="9"/>
    </row>
    <row r="29" spans="1:8" s="10" customFormat="1" ht="21.75" customHeight="1">
      <c r="A29" s="75"/>
      <c r="B29" s="50">
        <f>+'[3]รายงานรับ-จ่าย'!$B$31+E29</f>
        <v>0</v>
      </c>
      <c r="C29" s="55" t="s">
        <v>121</v>
      </c>
      <c r="D29" s="71">
        <v>210401</v>
      </c>
      <c r="E29" s="70">
        <f>+'[2]มาตรฐาน 1'!G24</f>
        <v>0</v>
      </c>
      <c r="F29" s="4"/>
      <c r="G29" s="9"/>
      <c r="H29" s="9"/>
    </row>
    <row r="30" spans="1:8" s="10" customFormat="1" ht="21.75" customHeight="1">
      <c r="A30" s="69"/>
      <c r="B30" s="50">
        <f>+'[1]รายงานรับ-จ่าย'!$B$32+E30</f>
        <v>1112849.26</v>
      </c>
      <c r="C30" s="55" t="s">
        <v>122</v>
      </c>
      <c r="D30" s="58" t="s">
        <v>63</v>
      </c>
      <c r="E30" s="57">
        <f>+'[2]หมายเหตุ 2'!D21</f>
        <v>102346.73</v>
      </c>
      <c r="F30" s="4"/>
      <c r="G30" s="9"/>
      <c r="H30" s="9"/>
    </row>
    <row r="31" spans="1:8" s="10" customFormat="1" ht="21.75" customHeight="1">
      <c r="A31" s="69"/>
      <c r="B31" s="50">
        <f>+'[3]รายงานรับ-จ่าย'!$B$33+E31</f>
        <v>137500</v>
      </c>
      <c r="C31" s="51" t="s">
        <v>39</v>
      </c>
      <c r="D31" s="76" t="s">
        <v>57</v>
      </c>
      <c r="E31" s="77">
        <f>+'[2]มาตรฐาน 1'!G35+[2]บัญชีทั่วไป!G433</f>
        <v>137500</v>
      </c>
      <c r="F31" s="4"/>
      <c r="G31" s="9"/>
      <c r="H31" s="9"/>
    </row>
    <row r="32" spans="1:8" s="10" customFormat="1" ht="58.5" customHeight="1">
      <c r="A32" s="78"/>
      <c r="B32" s="79"/>
      <c r="C32" s="35"/>
      <c r="D32" s="80"/>
      <c r="E32" s="81"/>
      <c r="F32" s="4"/>
      <c r="G32" s="9"/>
      <c r="H32" s="9"/>
    </row>
    <row r="33" spans="1:9" s="10" customFormat="1" ht="21.75" customHeight="1">
      <c r="A33" s="82"/>
      <c r="B33" s="83">
        <f>SUM(B20:B31)</f>
        <v>15124749.559999999</v>
      </c>
      <c r="C33" s="5"/>
      <c r="D33" s="84"/>
      <c r="E33" s="83">
        <f>SUM(E20:E31)</f>
        <v>330079.70999999996</v>
      </c>
      <c r="F33" s="4"/>
      <c r="G33" s="9"/>
      <c r="H33" s="9"/>
    </row>
    <row r="34" spans="1:9" s="10" customFormat="1" ht="21.75" customHeight="1">
      <c r="A34" s="3"/>
      <c r="B34" s="85">
        <f>+B19+B33</f>
        <v>34232109.590000004</v>
      </c>
      <c r="C34" s="86" t="s">
        <v>42</v>
      </c>
      <c r="D34" s="3"/>
      <c r="E34" s="85">
        <f>+E19+E33</f>
        <v>1880836.56</v>
      </c>
      <c r="F34" s="4"/>
      <c r="G34" s="9"/>
      <c r="H34" s="9"/>
    </row>
    <row r="35" spans="1:9" s="10" customFormat="1" ht="21.75" customHeight="1">
      <c r="A35" s="3"/>
      <c r="B35" s="3"/>
      <c r="C35" s="3"/>
      <c r="D35" s="3"/>
      <c r="E35" s="3"/>
      <c r="F35" s="4"/>
      <c r="G35" s="9"/>
      <c r="H35" s="9"/>
    </row>
    <row r="37" spans="1:9" s="10" customFormat="1" ht="21" customHeight="1">
      <c r="A37" s="3"/>
      <c r="B37" s="3"/>
      <c r="C37" s="3"/>
      <c r="D37" s="3"/>
      <c r="E37" s="3"/>
      <c r="F37" s="4"/>
      <c r="G37" s="9"/>
      <c r="H37" s="9"/>
    </row>
    <row r="38" spans="1:9" s="10" customFormat="1" ht="21" customHeight="1">
      <c r="A38" s="3"/>
      <c r="B38" s="3"/>
      <c r="C38" s="3"/>
      <c r="D38" s="3"/>
      <c r="E38" s="8"/>
      <c r="F38" s="4"/>
      <c r="G38" s="9"/>
      <c r="H38" s="9"/>
    </row>
    <row r="39" spans="1:9" s="10" customFormat="1" ht="21" customHeight="1">
      <c r="A39" s="135" t="s">
        <v>6</v>
      </c>
      <c r="B39" s="136"/>
      <c r="C39" s="35"/>
      <c r="D39" s="35"/>
      <c r="E39" s="87" t="s">
        <v>7</v>
      </c>
      <c r="F39" s="4"/>
      <c r="G39" s="9"/>
      <c r="H39" s="13"/>
    </row>
    <row r="40" spans="1:9" s="10" customFormat="1" ht="21" customHeight="1">
      <c r="A40" s="38" t="s">
        <v>8</v>
      </c>
      <c r="B40" s="38" t="s">
        <v>9</v>
      </c>
      <c r="C40" s="38" t="s">
        <v>35</v>
      </c>
      <c r="D40" s="38" t="s">
        <v>36</v>
      </c>
      <c r="E40" s="38" t="s">
        <v>9</v>
      </c>
      <c r="F40" s="4"/>
      <c r="G40" s="9"/>
      <c r="H40" s="9"/>
    </row>
    <row r="41" spans="1:9" s="10" customFormat="1" ht="21" customHeight="1" thickBot="1">
      <c r="A41" s="39" t="s">
        <v>4</v>
      </c>
      <c r="B41" s="39" t="s">
        <v>4</v>
      </c>
      <c r="C41" s="40"/>
      <c r="D41" s="40"/>
      <c r="E41" s="39" t="s">
        <v>4</v>
      </c>
      <c r="F41" s="4"/>
      <c r="G41" s="9"/>
      <c r="H41" s="13"/>
      <c r="I41" s="12"/>
    </row>
    <row r="42" spans="1:9" s="10" customFormat="1" ht="21" customHeight="1" thickTop="1">
      <c r="A42" s="46"/>
      <c r="B42" s="46"/>
      <c r="C42" s="47" t="s">
        <v>123</v>
      </c>
      <c r="D42" s="35"/>
      <c r="E42" s="48"/>
      <c r="F42" s="4"/>
      <c r="G42" s="9"/>
      <c r="H42" s="9"/>
    </row>
    <row r="43" spans="1:9" s="10" customFormat="1" ht="15.75" customHeight="1">
      <c r="A43" s="88">
        <v>0</v>
      </c>
      <c r="B43" s="50">
        <f>+'[3]รายงานรับ-จ่าย'!$B$49+E43</f>
        <v>0</v>
      </c>
      <c r="C43" s="89" t="s">
        <v>3</v>
      </c>
      <c r="D43" s="90">
        <v>510000</v>
      </c>
      <c r="E43" s="91">
        <f>+'[2]มาตรฐาน 2'!F6</f>
        <v>0</v>
      </c>
      <c r="F43" s="2"/>
      <c r="G43" s="9"/>
      <c r="H43" s="13"/>
    </row>
    <row r="44" spans="1:9" s="10" customFormat="1" ht="21" customHeight="1">
      <c r="A44" s="92">
        <v>1436640</v>
      </c>
      <c r="B44" s="50">
        <f>+'[1]รายงานรับ-จ่าย'!$B$50+E44</f>
        <v>1542398.12</v>
      </c>
      <c r="C44" s="93" t="s">
        <v>72</v>
      </c>
      <c r="D44" s="94">
        <v>521000</v>
      </c>
      <c r="E44" s="91">
        <f>+'[2]มาตรฐาน 2'!F7-'[2]มาตรฐาน 1'!G37</f>
        <v>129280</v>
      </c>
      <c r="F44" s="2"/>
      <c r="G44" s="9"/>
      <c r="H44" s="9"/>
    </row>
    <row r="45" spans="1:9" s="10" customFormat="1" ht="21" customHeight="1">
      <c r="A45" s="92">
        <v>4085430</v>
      </c>
      <c r="B45" s="50">
        <f>+'[1]รายงานรับ-จ่าย'!$B$51+E45</f>
        <v>3167533.9699999997</v>
      </c>
      <c r="C45" s="93" t="s">
        <v>124</v>
      </c>
      <c r="D45" s="94">
        <v>522000</v>
      </c>
      <c r="E45" s="91">
        <f>+'[2]มาตรฐาน 2'!F8+[2]บัญชีทั่วไป!F539+[2]บัญชีทั่วไป!F540-'[2]มาตรฐาน 1'!G41</f>
        <v>237712.28999999998</v>
      </c>
      <c r="F45" s="2"/>
      <c r="G45" s="9"/>
      <c r="H45" s="13"/>
    </row>
    <row r="46" spans="1:9" s="10" customFormat="1" ht="21" customHeight="1">
      <c r="A46" s="92">
        <f>999800+146000+30000-30000-10000+6400</f>
        <v>1142200</v>
      </c>
      <c r="B46" s="50">
        <f>+'[1]รายงานรับ-จ่าย'!$B$52+E46</f>
        <v>262457</v>
      </c>
      <c r="C46" s="93" t="s">
        <v>98</v>
      </c>
      <c r="D46" s="94">
        <v>531000</v>
      </c>
      <c r="E46" s="91">
        <f>+'[2]มาตรฐาน 2'!F9</f>
        <v>28729</v>
      </c>
      <c r="F46" s="2"/>
      <c r="G46" s="9"/>
      <c r="H46" s="9"/>
    </row>
    <row r="47" spans="1:9" s="10" customFormat="1" ht="21" customHeight="1">
      <c r="A47" s="92">
        <f>2104000+30000+220000-40000+40000-38500+100000</f>
        <v>2415500</v>
      </c>
      <c r="B47" s="50">
        <f>+'[1]รายงานรับ-จ่าย'!$B$53+E47</f>
        <v>1349381.76</v>
      </c>
      <c r="C47" s="93" t="s">
        <v>80</v>
      </c>
      <c r="D47" s="94">
        <v>532000</v>
      </c>
      <c r="E47" s="91">
        <f>+'[2]มาตรฐาน 2'!F10-'[2]มาตรฐาน 1'!G40</f>
        <v>259508.75</v>
      </c>
      <c r="F47" s="2"/>
      <c r="G47" s="9"/>
      <c r="H47" s="9"/>
    </row>
    <row r="48" spans="1:9" s="10" customFormat="1" ht="21" customHeight="1">
      <c r="A48" s="92">
        <f>1139000-100000+10000+10000-10000-50000-50000</f>
        <v>949000</v>
      </c>
      <c r="B48" s="50">
        <f>+'[1]รายงานรับ-จ่าย'!$B$54+E48</f>
        <v>405261</v>
      </c>
      <c r="C48" s="93" t="s">
        <v>1</v>
      </c>
      <c r="D48" s="94">
        <v>533000</v>
      </c>
      <c r="E48" s="91">
        <f>+'[2]มาตรฐาน 2'!F11</f>
        <v>13700</v>
      </c>
      <c r="F48" s="2"/>
      <c r="G48" s="9"/>
      <c r="H48" s="9"/>
    </row>
    <row r="49" spans="1:8" s="10" customFormat="1" ht="21" customHeight="1">
      <c r="A49" s="92">
        <f>295200+100000</f>
        <v>395200</v>
      </c>
      <c r="B49" s="50">
        <f>+'[1]รายงานรับ-จ่าย'!$B$55+E49</f>
        <v>323257.26</v>
      </c>
      <c r="C49" s="93" t="s">
        <v>21</v>
      </c>
      <c r="D49" s="94">
        <v>534000</v>
      </c>
      <c r="E49" s="91">
        <f>+'[2]มาตรฐาน 2'!F12</f>
        <v>31749.65</v>
      </c>
      <c r="F49" s="2"/>
      <c r="G49" s="9"/>
      <c r="H49" s="9"/>
    </row>
    <row r="50" spans="1:8" s="10" customFormat="1" ht="21" customHeight="1">
      <c r="A50" s="92">
        <f>428400-280000+33400+5100+10000+15000+1800-16800</f>
        <v>196900</v>
      </c>
      <c r="B50" s="50">
        <f>+'[1]รายงานรับ-จ่าย'!$B$56+E50</f>
        <v>666220</v>
      </c>
      <c r="C50" s="93" t="s">
        <v>74</v>
      </c>
      <c r="D50" s="94">
        <v>541000</v>
      </c>
      <c r="E50" s="91">
        <f>+'[2]มาตรฐาน 2'!F13</f>
        <v>518000</v>
      </c>
      <c r="F50" s="2"/>
      <c r="G50" s="9"/>
      <c r="H50" s="9"/>
    </row>
    <row r="51" spans="1:8" s="10" customFormat="1" ht="21" customHeight="1">
      <c r="A51" s="92">
        <f>472000+280000</f>
        <v>752000</v>
      </c>
      <c r="B51" s="50">
        <f>+'[1]รายงานรับ-จ่าย'!$B$57+E51</f>
        <v>18000</v>
      </c>
      <c r="C51" s="93" t="s">
        <v>100</v>
      </c>
      <c r="D51" s="94">
        <v>542000</v>
      </c>
      <c r="E51" s="91">
        <f>+'[2]มาตรฐาน 2'!F14</f>
        <v>0</v>
      </c>
      <c r="F51" s="2"/>
      <c r="G51" s="9"/>
      <c r="H51" s="9"/>
    </row>
    <row r="52" spans="1:8" s="10" customFormat="1" ht="21" customHeight="1">
      <c r="A52" s="88">
        <v>25000</v>
      </c>
      <c r="B52" s="50">
        <f>+'[1]รายงานรับ-จ่าย'!$B$58+E52</f>
        <v>25000</v>
      </c>
      <c r="C52" s="89" t="s">
        <v>102</v>
      </c>
      <c r="D52" s="90">
        <v>550000</v>
      </c>
      <c r="E52" s="91">
        <f>+'[2]มาตรฐาน 2'!F15</f>
        <v>0</v>
      </c>
      <c r="F52" s="2"/>
      <c r="G52" s="9"/>
      <c r="H52" s="13"/>
    </row>
    <row r="53" spans="1:8" s="10" customFormat="1" ht="21" customHeight="1">
      <c r="A53" s="88">
        <v>18000</v>
      </c>
      <c r="B53" s="50">
        <f>+'[1]รายงานรับ-จ่าย'!$B$59+E53</f>
        <v>5000</v>
      </c>
      <c r="C53" s="89" t="s">
        <v>18</v>
      </c>
      <c r="D53" s="90">
        <v>560000</v>
      </c>
      <c r="E53" s="91">
        <f>+'[2]มาตรฐาน 2'!F16</f>
        <v>0</v>
      </c>
      <c r="F53" s="2"/>
      <c r="G53" s="9"/>
      <c r="H53" s="9"/>
    </row>
    <row r="54" spans="1:8" s="10" customFormat="1" ht="21" customHeight="1">
      <c r="A54" s="88">
        <f>1874530-40000-300000</f>
        <v>1534530</v>
      </c>
      <c r="B54" s="50">
        <f>+'[1]รายงานรับ-จ่าย'!$B$60+E54</f>
        <v>896740</v>
      </c>
      <c r="C54" s="89" t="s">
        <v>125</v>
      </c>
      <c r="D54" s="90">
        <v>6510000</v>
      </c>
      <c r="E54" s="91">
        <f>+'[2]มาตรฐาน 2'!F17+[2]บัญชีทั่วไป!F469+[2]บัญชีทั่วไป!F396+[2]บัญชีทั่วไป!F575+[2]บัญชีทั่วไป!F256+[2]บัญชีทั่วไป!F291+[2]บัญชีทั่วไป!F326</f>
        <v>11864</v>
      </c>
      <c r="F54" s="2"/>
      <c r="G54" s="9"/>
      <c r="H54" s="13"/>
    </row>
    <row r="55" spans="1:8" s="10" customFormat="1" ht="19.5" customHeight="1">
      <c r="A55" s="92">
        <v>168000</v>
      </c>
      <c r="B55" s="50">
        <f>+'[1]รายงานรับ-จ่าย'!$B$61+E55</f>
        <v>167440</v>
      </c>
      <c r="C55" s="93" t="s">
        <v>70</v>
      </c>
      <c r="D55" s="94">
        <v>6532000</v>
      </c>
      <c r="E55" s="91">
        <f>+'[2]มาตรฐาน 2'!F18</f>
        <v>0</v>
      </c>
      <c r="F55" s="2"/>
      <c r="G55" s="9"/>
      <c r="H55" s="13"/>
    </row>
    <row r="56" spans="1:8" s="10" customFormat="1" ht="19.5" customHeight="1">
      <c r="A56" s="92">
        <v>899000</v>
      </c>
      <c r="B56" s="50">
        <f>+'[1]รายงานรับ-จ่าย'!$B$62+E56</f>
        <v>466230.1</v>
      </c>
      <c r="C56" s="93" t="s">
        <v>20</v>
      </c>
      <c r="D56" s="94">
        <v>6533000</v>
      </c>
      <c r="E56" s="91">
        <f>+'[2]มาตรฐาน 2'!F19</f>
        <v>0</v>
      </c>
      <c r="F56" s="2"/>
      <c r="G56" s="9"/>
      <c r="H56" s="13"/>
    </row>
    <row r="57" spans="1:8" s="10" customFormat="1" ht="19.5" customHeight="1">
      <c r="A57" s="92">
        <f>633000-30000-3600-6400+30000+3600</f>
        <v>626600</v>
      </c>
      <c r="B57" s="50">
        <f>+'[1]รายงานรับ-จ่าย'!$B$63+E57</f>
        <v>38000</v>
      </c>
      <c r="C57" s="93" t="s">
        <v>99</v>
      </c>
      <c r="D57" s="94">
        <v>6541000</v>
      </c>
      <c r="E57" s="91">
        <f>+'[2]มาตรฐาน 2'!F20</f>
        <v>0</v>
      </c>
      <c r="F57" s="2"/>
      <c r="G57" s="9"/>
      <c r="H57" s="13"/>
    </row>
    <row r="58" spans="1:8" s="10" customFormat="1" ht="19.5" customHeight="1">
      <c r="A58" s="92">
        <f>2267000-220000-146000</f>
        <v>1901000</v>
      </c>
      <c r="B58" s="50">
        <f>+'[1]รายงานรับ-จ่าย'!$B$64+E58</f>
        <v>367000</v>
      </c>
      <c r="C58" s="93" t="s">
        <v>100</v>
      </c>
      <c r="D58" s="94">
        <v>6542000</v>
      </c>
      <c r="E58" s="91">
        <f>+'[2]มาตรฐาน 2'!F21</f>
        <v>0</v>
      </c>
      <c r="F58" s="2"/>
      <c r="G58" s="9"/>
      <c r="H58" s="13"/>
    </row>
    <row r="59" spans="1:8" s="10" customFormat="1" ht="19.5" customHeight="1">
      <c r="A59" s="95">
        <v>1208000</v>
      </c>
      <c r="B59" s="50">
        <f>+'[1]รายงานรับ-จ่าย'!$B$65+E59</f>
        <v>1169400</v>
      </c>
      <c r="C59" s="89" t="s">
        <v>18</v>
      </c>
      <c r="D59" s="90">
        <v>6560000</v>
      </c>
      <c r="E59" s="91">
        <f>+'[2]มาตรฐาน 2'!F22</f>
        <v>0</v>
      </c>
      <c r="F59" s="2"/>
      <c r="G59" s="9"/>
      <c r="H59" s="9"/>
    </row>
    <row r="60" spans="1:8" s="10" customFormat="1" ht="19.5" customHeight="1" thickBot="1">
      <c r="A60" s="59">
        <f>SUM(A43:A59)</f>
        <v>17753000</v>
      </c>
      <c r="B60" s="117">
        <f>SUM(B43:B59)</f>
        <v>10869319.209999999</v>
      </c>
      <c r="C60" s="2"/>
      <c r="D60" s="96"/>
      <c r="E60" s="97">
        <f>SUM(E43:E59)</f>
        <v>1230543.69</v>
      </c>
      <c r="F60" s="2"/>
      <c r="G60" s="9"/>
      <c r="H60" s="9"/>
    </row>
    <row r="61" spans="1:8" s="10" customFormat="1" ht="19.5" customHeight="1" thickTop="1">
      <c r="A61" s="98"/>
      <c r="B61" s="50">
        <f>+'[1]รายงานรับ-จ่าย'!$B$67+E61</f>
        <v>6868888</v>
      </c>
      <c r="C61" s="99" t="s">
        <v>126</v>
      </c>
      <c r="D61" s="96">
        <v>7510000</v>
      </c>
      <c r="E61" s="91">
        <f>+'[2]มาตรฐาน 2'!F23-'[2]มาตรฐาน 1'!G38-'[2]มาตรฐาน 1'!G39+[2]บัญชีทั่วไป!F503+[2]บัญชีทั่วไป!F611+[2]บัญชีทั่วไป!F647+[2]บัญชีทั่วไป!F683</f>
        <v>615200</v>
      </c>
      <c r="F61" s="2"/>
      <c r="G61" s="9"/>
      <c r="H61" s="9"/>
    </row>
    <row r="62" spans="1:8" s="10" customFormat="1" ht="19.5" customHeight="1">
      <c r="A62" s="100"/>
      <c r="B62" s="50">
        <f>+'[1]รายงานรับ-จ่าย'!$B$68+E62</f>
        <v>208967.74</v>
      </c>
      <c r="C62" s="93" t="s">
        <v>73</v>
      </c>
      <c r="D62" s="94">
        <v>7522000</v>
      </c>
      <c r="E62" s="91">
        <f>+[2]บัญชีทั่วไป!F504+[2]บัญชีทั่วไป!F505+[2]บัญชีทั่วไป!F612+[2]บัญชีทั่วไป!F613+[2]บัญชีทั่วไป!F648+[2]บัญชีทั่วไป!F649+[2]บัญชีทั่วไป!F684+[2]บัญชีทั่วไป!F685+[2]บัญชีทั่วไป!F719+[2]บัญชีทั่วไป!F720</f>
        <v>0</v>
      </c>
      <c r="F62" s="2"/>
      <c r="G62" s="9"/>
      <c r="H62" s="9"/>
    </row>
    <row r="63" spans="1:8" s="10" customFormat="1" ht="19.5" customHeight="1">
      <c r="A63" s="100"/>
      <c r="B63" s="50">
        <f>+'[1]รายงานรับ-จ่าย'!$B$69+E63</f>
        <v>94500</v>
      </c>
      <c r="C63" s="93" t="s">
        <v>80</v>
      </c>
      <c r="D63" s="101">
        <v>7532000</v>
      </c>
      <c r="E63" s="91">
        <f>+'[2]มาตรฐาน 2'!F24</f>
        <v>0</v>
      </c>
      <c r="F63" s="2"/>
      <c r="G63" s="9"/>
      <c r="H63" s="9"/>
    </row>
    <row r="64" spans="1:8" s="10" customFormat="1" ht="19.5" customHeight="1">
      <c r="A64" s="100"/>
      <c r="B64" s="50">
        <f>+E64</f>
        <v>14690</v>
      </c>
      <c r="C64" s="93" t="s">
        <v>127</v>
      </c>
      <c r="D64" s="101">
        <v>7541000</v>
      </c>
      <c r="E64" s="91">
        <f>+'[2]มาตรฐาน 2'!F25</f>
        <v>14690</v>
      </c>
      <c r="F64" s="2"/>
      <c r="G64" s="9"/>
      <c r="H64" s="9"/>
    </row>
    <row r="65" spans="1:9" s="10" customFormat="1" ht="19.5" customHeight="1">
      <c r="A65" s="100"/>
      <c r="B65" s="50">
        <f>+'[1]รายงานรับ-จ่าย'!$B$70+E65</f>
        <v>0</v>
      </c>
      <c r="C65" s="93" t="s">
        <v>79</v>
      </c>
      <c r="D65" s="101">
        <v>7542000</v>
      </c>
      <c r="E65" s="91">
        <f>+'[2]มาตรฐาน 2'!F26</f>
        <v>0</v>
      </c>
      <c r="F65" s="2"/>
      <c r="G65" s="9"/>
      <c r="H65" s="9"/>
    </row>
    <row r="66" spans="1:9" s="10" customFormat="1" ht="19.5" customHeight="1">
      <c r="A66" s="102"/>
      <c r="B66" s="50">
        <f>+'[1]รายงานรับ-จ่าย'!$B$71+E66</f>
        <v>0</v>
      </c>
      <c r="C66" s="93" t="s">
        <v>95</v>
      </c>
      <c r="D66" s="103" t="s">
        <v>104</v>
      </c>
      <c r="E66" s="104">
        <f>+'[2]มาตรฐาน 2'!F27</f>
        <v>0</v>
      </c>
      <c r="F66" s="2"/>
      <c r="G66" s="9"/>
      <c r="H66" s="9"/>
    </row>
    <row r="67" spans="1:9" s="10" customFormat="1" ht="19.5" customHeight="1">
      <c r="A67" s="102"/>
      <c r="B67" s="50">
        <f>+'[1]รายงานรับ-จ่าย'!$B$72+E67</f>
        <v>0</v>
      </c>
      <c r="C67" s="93" t="s">
        <v>101</v>
      </c>
      <c r="D67" s="103" t="s">
        <v>105</v>
      </c>
      <c r="E67" s="104">
        <f>+'[2]มาตรฐาน 2'!F28</f>
        <v>0</v>
      </c>
      <c r="F67" s="2"/>
      <c r="G67" s="9"/>
      <c r="H67" s="13"/>
    </row>
    <row r="68" spans="1:9" s="10" customFormat="1" ht="19.5" customHeight="1">
      <c r="A68" s="102"/>
      <c r="B68" s="50">
        <f>+'[1]รายงานรับ-จ่าย'!$B$73+E68</f>
        <v>0</v>
      </c>
      <c r="C68" s="93" t="s">
        <v>97</v>
      </c>
      <c r="D68" s="103" t="s">
        <v>106</v>
      </c>
      <c r="E68" s="104">
        <f>+'[2]มาตรฐาน 2'!F29</f>
        <v>0</v>
      </c>
      <c r="F68" s="2"/>
      <c r="G68" s="9"/>
      <c r="H68" s="9"/>
    </row>
    <row r="69" spans="1:9" s="10" customFormat="1" ht="19.5" customHeight="1">
      <c r="A69" s="102"/>
      <c r="B69" s="50">
        <f>+'[1]รายงานรับ-จ่าย'!$B$74+E69</f>
        <v>315352</v>
      </c>
      <c r="C69" s="93" t="s">
        <v>69</v>
      </c>
      <c r="D69" s="103" t="s">
        <v>59</v>
      </c>
      <c r="E69" s="104">
        <f>+'[2]มาตรฐาน 2'!F30</f>
        <v>131900</v>
      </c>
      <c r="F69" s="2"/>
      <c r="G69" s="9"/>
      <c r="H69" s="9"/>
    </row>
    <row r="70" spans="1:9" s="10" customFormat="1" ht="19.5" customHeight="1">
      <c r="A70" s="102"/>
      <c r="B70" s="50">
        <f>+'[1]รายงานรับ-จ่าย'!$B$75+E70</f>
        <v>4096810</v>
      </c>
      <c r="C70" s="93" t="s">
        <v>19</v>
      </c>
      <c r="D70" s="103" t="s">
        <v>60</v>
      </c>
      <c r="E70" s="104">
        <f>+'[2]มาตรฐาน 2'!F31</f>
        <v>26856</v>
      </c>
      <c r="F70" s="2"/>
      <c r="G70" s="9"/>
      <c r="H70" s="9"/>
    </row>
    <row r="71" spans="1:9" s="10" customFormat="1" ht="19.5" customHeight="1">
      <c r="A71" s="69"/>
      <c r="B71" s="50">
        <f>+'[1]รายงานรับ-จ่าย'!$B$76+E71</f>
        <v>0</v>
      </c>
      <c r="C71" s="55" t="s">
        <v>66</v>
      </c>
      <c r="D71" s="105" t="s">
        <v>62</v>
      </c>
      <c r="E71" s="104">
        <f>+'[2]มาตรฐาน 2'!F32</f>
        <v>0</v>
      </c>
      <c r="F71" s="4"/>
      <c r="G71" s="9"/>
      <c r="H71" s="9"/>
    </row>
    <row r="72" spans="1:9" s="10" customFormat="1" ht="19.5" customHeight="1">
      <c r="A72" s="106"/>
      <c r="B72" s="50">
        <f>+'[1]รายงานรับ-จ่าย'!$B$77+E72</f>
        <v>17747.669999999998</v>
      </c>
      <c r="C72" s="93" t="s">
        <v>78</v>
      </c>
      <c r="D72" s="107">
        <v>140000</v>
      </c>
      <c r="E72" s="104">
        <f>+'[2]มาตรฐาน 1'!F15</f>
        <v>0</v>
      </c>
      <c r="F72" s="2"/>
      <c r="G72" s="9"/>
      <c r="H72" s="9"/>
    </row>
    <row r="73" spans="1:9" s="10" customFormat="1" ht="19.5" customHeight="1">
      <c r="A73" s="102"/>
      <c r="B73" s="50">
        <f>+'[1]รายงานรับ-จ่าย'!$B$78+E73</f>
        <v>3515210</v>
      </c>
      <c r="C73" s="93" t="s">
        <v>128</v>
      </c>
      <c r="D73" s="103">
        <v>210401</v>
      </c>
      <c r="E73" s="104">
        <f>+'[2]มาตรฐาน 2'!F34</f>
        <v>0</v>
      </c>
      <c r="F73" s="2"/>
      <c r="G73" s="9"/>
      <c r="H73" s="9"/>
    </row>
    <row r="74" spans="1:9" s="10" customFormat="1" ht="21" customHeight="1">
      <c r="A74" s="102"/>
      <c r="B74" s="50">
        <f>+'[1]รายงานรับ-จ่าย'!$B$79+E74</f>
        <v>1386723.77</v>
      </c>
      <c r="C74" s="99" t="s">
        <v>129</v>
      </c>
      <c r="D74" s="107" t="s">
        <v>63</v>
      </c>
      <c r="E74" s="104">
        <f>+'[2]หมายเหตุ 2'!E21</f>
        <v>344301.39</v>
      </c>
      <c r="F74" s="2"/>
      <c r="G74" s="9"/>
      <c r="H74" s="13">
        <f>+E74-B74</f>
        <v>-1042422.38</v>
      </c>
      <c r="I74" s="12"/>
    </row>
    <row r="75" spans="1:9" s="10" customFormat="1" ht="21.75" customHeight="1">
      <c r="A75" s="102"/>
      <c r="B75" s="50">
        <f>+'[1]รายงานรับ-จ่าย'!$B$80+E75</f>
        <v>1956977</v>
      </c>
      <c r="C75" s="99" t="s">
        <v>130</v>
      </c>
      <c r="D75" s="108" t="s">
        <v>57</v>
      </c>
      <c r="E75" s="104">
        <f>+'[2]มาตรฐาน 2'!F42+[2]บัญชีทั่วไป!F361</f>
        <v>60711</v>
      </c>
      <c r="F75" s="2"/>
      <c r="G75" s="9"/>
      <c r="H75" s="9"/>
    </row>
    <row r="76" spans="1:9" s="10" customFormat="1" ht="21.75" customHeight="1">
      <c r="A76" s="109"/>
      <c r="B76" s="110">
        <f>SUM(B61:B75)</f>
        <v>18475866.18</v>
      </c>
      <c r="C76" s="7"/>
      <c r="D76" s="2"/>
      <c r="E76" s="110">
        <f>SUM(E61:E75)</f>
        <v>1193658.3900000001</v>
      </c>
      <c r="F76" s="2"/>
      <c r="G76" s="9"/>
      <c r="H76" s="9"/>
    </row>
    <row r="77" spans="1:9" s="10" customFormat="1" ht="21.75" customHeight="1">
      <c r="A77" s="3"/>
      <c r="B77" s="111">
        <f>+B60+B76</f>
        <v>29345185.390000001</v>
      </c>
      <c r="C77" s="112" t="s">
        <v>40</v>
      </c>
      <c r="D77" s="3"/>
      <c r="E77" s="111">
        <f>+E60+E76</f>
        <v>2424202.08</v>
      </c>
      <c r="F77" s="4"/>
      <c r="G77" s="9"/>
      <c r="H77" s="9"/>
    </row>
    <row r="78" spans="1:9" s="10" customFormat="1" ht="21.75" customHeight="1">
      <c r="A78" s="8"/>
      <c r="B78" s="113">
        <f>+B34-B77</f>
        <v>4886924.200000003</v>
      </c>
      <c r="C78" s="3" t="s">
        <v>22</v>
      </c>
      <c r="D78" s="3"/>
      <c r="E78" s="46"/>
      <c r="F78" s="4"/>
      <c r="G78" s="9"/>
      <c r="H78" s="9"/>
    </row>
    <row r="79" spans="1:9" ht="18" customHeight="1">
      <c r="A79" s="8"/>
      <c r="B79" s="113"/>
      <c r="C79" s="3" t="s">
        <v>23</v>
      </c>
      <c r="E79" s="113"/>
    </row>
    <row r="80" spans="1:9" ht="21.75" customHeight="1">
      <c r="A80" s="8"/>
      <c r="B80" s="113"/>
      <c r="C80" s="3" t="s">
        <v>24</v>
      </c>
      <c r="E80" s="46">
        <f>+E34-E77</f>
        <v>-543365.52</v>
      </c>
    </row>
    <row r="81" spans="1:8" ht="21.75" customHeight="1" thickBot="1">
      <c r="B81" s="59">
        <f>+B9+B78</f>
        <v>18605174.730000004</v>
      </c>
      <c r="C81" s="86" t="s">
        <v>41</v>
      </c>
      <c r="E81" s="114">
        <f>+E9+E80</f>
        <v>18605174.73</v>
      </c>
    </row>
    <row r="82" spans="1:8" ht="21.75" customHeight="1" thickTop="1">
      <c r="B82" s="115"/>
      <c r="E82" s="116"/>
    </row>
    <row r="83" spans="1:8" s="7" customFormat="1" ht="21.75" customHeight="1">
      <c r="A83" s="3"/>
      <c r="B83" s="3"/>
      <c r="C83" s="3"/>
      <c r="D83" s="3"/>
      <c r="E83" s="8"/>
      <c r="F83" s="4"/>
      <c r="G83" s="2"/>
      <c r="H83" s="2"/>
    </row>
    <row r="84" spans="1:8" s="7" customFormat="1" ht="21.75" customHeight="1">
      <c r="A84" s="3"/>
      <c r="B84" s="3"/>
      <c r="C84" s="3"/>
      <c r="D84" s="3"/>
      <c r="E84" s="8"/>
      <c r="F84" s="4"/>
      <c r="G84" s="2"/>
      <c r="H84" s="2"/>
    </row>
    <row r="85" spans="1:8" s="7" customFormat="1" ht="21.75" customHeight="1">
      <c r="A85" s="3"/>
      <c r="B85" s="3"/>
      <c r="C85" s="3"/>
      <c r="D85" s="3"/>
      <c r="E85" s="3"/>
      <c r="F85" s="4"/>
      <c r="G85" s="2"/>
      <c r="H85" s="2"/>
    </row>
    <row r="86" spans="1:8" s="7" customFormat="1" ht="21.75" customHeight="1">
      <c r="F86" s="2"/>
      <c r="G86" s="2"/>
      <c r="H86" s="2"/>
    </row>
    <row r="87" spans="1:8" s="7" customFormat="1" ht="21.75" customHeight="1">
      <c r="F87" s="2"/>
      <c r="G87" s="2"/>
      <c r="H87" s="2"/>
    </row>
    <row r="88" spans="1:8" s="7" customFormat="1" ht="21.75" customHeight="1">
      <c r="F88" s="2"/>
      <c r="G88" s="2"/>
      <c r="H88" s="2"/>
    </row>
    <row r="89" spans="1:8" s="7" customFormat="1" ht="21.75" customHeight="1">
      <c r="F89" s="2"/>
      <c r="G89" s="2"/>
      <c r="H89" s="2"/>
    </row>
    <row r="90" spans="1:8" s="7" customFormat="1" ht="21.75" customHeight="1">
      <c r="F90" s="2"/>
      <c r="G90" s="2"/>
      <c r="H90" s="2"/>
    </row>
    <row r="91" spans="1:8" s="7" customFormat="1" ht="21.75" customHeight="1">
      <c r="F91" s="2"/>
      <c r="G91" s="2"/>
      <c r="H91" s="2"/>
    </row>
    <row r="92" spans="1:8" s="7" customFormat="1" ht="21.75" customHeight="1">
      <c r="F92" s="2"/>
      <c r="G92" s="2"/>
      <c r="H92" s="2"/>
    </row>
    <row r="93" spans="1:8" s="7" customFormat="1" ht="21.75" customHeight="1">
      <c r="F93" s="2"/>
      <c r="G93" s="2"/>
      <c r="H93" s="2"/>
    </row>
    <row r="94" spans="1:8" s="7" customFormat="1" ht="21.75" customHeight="1">
      <c r="F94" s="2"/>
      <c r="G94" s="2"/>
      <c r="H94" s="2"/>
    </row>
    <row r="95" spans="1:8" s="7" customFormat="1" ht="21.75" customHeight="1">
      <c r="F95" s="2"/>
      <c r="G95" s="2"/>
      <c r="H95" s="2"/>
    </row>
    <row r="96" spans="1:8" s="7" customFormat="1" ht="21.75" customHeight="1">
      <c r="F96" s="2"/>
      <c r="G96" s="2"/>
      <c r="H96" s="2"/>
    </row>
    <row r="97" spans="6:8" s="7" customFormat="1" ht="21.75" customHeight="1">
      <c r="F97" s="2"/>
      <c r="G97" s="2"/>
      <c r="H97" s="2"/>
    </row>
    <row r="98" spans="6:8" s="7" customFormat="1" ht="21.75" customHeight="1">
      <c r="F98" s="2"/>
      <c r="G98" s="2"/>
      <c r="H98" s="2"/>
    </row>
    <row r="99" spans="6:8" s="7" customFormat="1" ht="21.75" customHeight="1">
      <c r="F99" s="2"/>
      <c r="G99" s="2"/>
      <c r="H99" s="2"/>
    </row>
    <row r="100" spans="6:8" s="7" customFormat="1" ht="21.75" customHeight="1">
      <c r="F100" s="2"/>
      <c r="G100" s="2"/>
      <c r="H100" s="2"/>
    </row>
    <row r="101" spans="6:8" s="7" customFormat="1" ht="21.75" customHeight="1">
      <c r="F101" s="2"/>
      <c r="G101" s="2"/>
      <c r="H101" s="2"/>
    </row>
    <row r="102" spans="6:8" s="7" customFormat="1" ht="21.75" customHeight="1">
      <c r="F102" s="2"/>
      <c r="G102" s="2"/>
      <c r="H102" s="2"/>
    </row>
    <row r="103" spans="6:8" s="7" customFormat="1" ht="21.75" customHeight="1">
      <c r="F103" s="2"/>
      <c r="G103" s="2"/>
      <c r="H103" s="2"/>
    </row>
    <row r="104" spans="6:8" s="7" customFormat="1" ht="21.75" customHeight="1">
      <c r="F104" s="2"/>
      <c r="G104" s="2"/>
      <c r="H104" s="2"/>
    </row>
    <row r="105" spans="6:8" s="7" customFormat="1" ht="21.75" customHeight="1">
      <c r="F105" s="2"/>
      <c r="G105" s="2"/>
      <c r="H105" s="2"/>
    </row>
    <row r="106" spans="6:8" s="7" customFormat="1" ht="21.75" customHeight="1">
      <c r="F106" s="2"/>
      <c r="G106" s="2"/>
      <c r="H106" s="2"/>
    </row>
    <row r="107" spans="6:8" s="7" customFormat="1" ht="21.75" customHeight="1">
      <c r="F107" s="2"/>
      <c r="G107" s="2"/>
      <c r="H107" s="2"/>
    </row>
    <row r="108" spans="6:8" s="7" customFormat="1" ht="21.75" customHeight="1">
      <c r="F108" s="2"/>
      <c r="G108" s="2"/>
      <c r="H108" s="2"/>
    </row>
    <row r="109" spans="6:8" s="7" customFormat="1" ht="21.75" customHeight="1">
      <c r="F109" s="2"/>
      <c r="G109" s="2"/>
      <c r="H109" s="2"/>
    </row>
    <row r="110" spans="6:8" s="7" customFormat="1" ht="21.75" customHeight="1">
      <c r="F110" s="2"/>
      <c r="G110" s="2"/>
      <c r="H110" s="2"/>
    </row>
    <row r="111" spans="6:8" s="7" customFormat="1" ht="21.75" customHeight="1">
      <c r="F111" s="2"/>
      <c r="G111" s="2"/>
      <c r="H111" s="2"/>
    </row>
    <row r="112" spans="6:8" s="7" customFormat="1" ht="21.75" customHeight="1">
      <c r="F112" s="2"/>
      <c r="G112" s="2"/>
      <c r="H112" s="2"/>
    </row>
    <row r="113" spans="6:8" s="7" customFormat="1" ht="21.75" customHeight="1">
      <c r="F113" s="2"/>
      <c r="G113" s="2"/>
      <c r="H113" s="2"/>
    </row>
    <row r="114" spans="6:8" s="7" customFormat="1" ht="21.75" customHeight="1">
      <c r="F114" s="2"/>
      <c r="G114" s="2"/>
      <c r="H114" s="2"/>
    </row>
    <row r="115" spans="6:8" s="7" customFormat="1" ht="21.75" customHeight="1">
      <c r="F115" s="2"/>
      <c r="G115" s="2"/>
      <c r="H115" s="2"/>
    </row>
    <row r="116" spans="6:8" s="7" customFormat="1" ht="21.75" customHeight="1">
      <c r="F116" s="2"/>
      <c r="G116" s="2"/>
      <c r="H116" s="2"/>
    </row>
    <row r="117" spans="6:8" s="7" customFormat="1" ht="21.75" customHeight="1">
      <c r="F117" s="2"/>
      <c r="G117" s="2"/>
      <c r="H117" s="2"/>
    </row>
    <row r="118" spans="6:8" s="7" customFormat="1" ht="21.75" customHeight="1">
      <c r="F118" s="2"/>
      <c r="G118" s="2"/>
      <c r="H118" s="2"/>
    </row>
    <row r="119" spans="6:8" s="7" customFormat="1" ht="21.75" customHeight="1">
      <c r="F119" s="2"/>
      <c r="G119" s="2"/>
      <c r="H119" s="2"/>
    </row>
    <row r="120" spans="6:8" s="7" customFormat="1" ht="21.75" customHeight="1">
      <c r="F120" s="2"/>
      <c r="G120" s="2"/>
      <c r="H120" s="2"/>
    </row>
    <row r="121" spans="6:8" s="7" customFormat="1" ht="21.75" customHeight="1">
      <c r="F121" s="2"/>
      <c r="G121" s="2"/>
      <c r="H121" s="2"/>
    </row>
    <row r="122" spans="6:8" s="7" customFormat="1" ht="21.75" customHeight="1">
      <c r="F122" s="2"/>
      <c r="G122" s="2"/>
      <c r="H122" s="2"/>
    </row>
    <row r="123" spans="6:8" s="7" customFormat="1" ht="21.75" customHeight="1">
      <c r="F123" s="2"/>
      <c r="G123" s="2"/>
      <c r="H123" s="2"/>
    </row>
    <row r="124" spans="6:8" s="7" customFormat="1" ht="21.75" customHeight="1">
      <c r="F124" s="2"/>
      <c r="G124" s="2"/>
      <c r="H124" s="2"/>
    </row>
    <row r="125" spans="6:8" s="7" customFormat="1" ht="21.75" customHeight="1">
      <c r="F125" s="2"/>
      <c r="G125" s="2"/>
      <c r="H125" s="2"/>
    </row>
    <row r="126" spans="6:8" s="7" customFormat="1" ht="21.75" customHeight="1">
      <c r="F126" s="2"/>
      <c r="G126" s="2"/>
      <c r="H126" s="2"/>
    </row>
    <row r="127" spans="6:8" s="7" customFormat="1" ht="21.75" customHeight="1">
      <c r="F127" s="2"/>
      <c r="G127" s="2"/>
      <c r="H127" s="2"/>
    </row>
    <row r="128" spans="6:8" s="7" customFormat="1" ht="21.75" customHeight="1">
      <c r="F128" s="2"/>
      <c r="G128" s="2"/>
      <c r="H128" s="2"/>
    </row>
    <row r="129" spans="6:8" s="7" customFormat="1" ht="21.75" customHeight="1">
      <c r="F129" s="2"/>
      <c r="G129" s="2"/>
      <c r="H129" s="2"/>
    </row>
  </sheetData>
  <mergeCells count="4">
    <mergeCell ref="A6:B6"/>
    <mergeCell ref="A1:E1"/>
    <mergeCell ref="C4:D4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</vt:lpstr>
      <vt:lpstr>รายงานรับ-จ่ายเงินสด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2012-10-11T07:57:27Z</cp:lastPrinted>
  <dcterms:created xsi:type="dcterms:W3CDTF">2004-10-23T15:23:07Z</dcterms:created>
  <dcterms:modified xsi:type="dcterms:W3CDTF">2012-10-11T07:58:06Z</dcterms:modified>
</cp:coreProperties>
</file>